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269484\Desktop\2023年4月から　経営戦略部資料置き場\IR全般\ファクトシート\開示\"/>
    </mc:Choice>
  </mc:AlternateContent>
  <xr:revisionPtr revIDLastSave="0" documentId="13_ncr:1_{2E8755DC-2A59-4F74-BB1A-1CAC4EEBD035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2025.3_1Q(1)" sheetId="1" r:id="rId1"/>
    <sheet name="2025.3_1Q(2)" sheetId="3" r:id="rId2"/>
    <sheet name="2025.3_1Q(3)" sheetId="5" r:id="rId3"/>
  </sheets>
  <definedNames>
    <definedName name="_xlnm.Print_Area" localSheetId="0">'2025.3_1Q(1)'!$B$2:$I$39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3" l="1"/>
  <c r="G42" i="3"/>
  <c r="G41" i="3"/>
  <c r="G39" i="3"/>
  <c r="G37" i="3"/>
  <c r="G35" i="3"/>
  <c r="G33" i="3"/>
  <c r="G26" i="3"/>
  <c r="G24" i="3"/>
  <c r="G22" i="3"/>
  <c r="G20" i="3"/>
  <c r="G18" i="3"/>
  <c r="G16" i="3"/>
  <c r="G14" i="3"/>
  <c r="G12" i="3"/>
  <c r="F43" i="3"/>
  <c r="F41" i="3"/>
  <c r="F40" i="3"/>
  <c r="F39" i="3"/>
  <c r="F37" i="3"/>
  <c r="F35" i="3"/>
  <c r="F33" i="3"/>
  <c r="F26" i="3"/>
  <c r="F24" i="3"/>
  <c r="F22" i="3"/>
  <c r="F20" i="3"/>
  <c r="F18" i="3"/>
  <c r="F16" i="3"/>
  <c r="F14" i="3"/>
  <c r="F12" i="3"/>
  <c r="E43" i="3"/>
  <c r="E41" i="3"/>
  <c r="E39" i="3"/>
  <c r="E37" i="3"/>
  <c r="E35" i="3"/>
  <c r="E33" i="3"/>
  <c r="E26" i="3"/>
  <c r="E24" i="3"/>
  <c r="E22" i="3"/>
  <c r="E20" i="3"/>
  <c r="E18" i="3"/>
  <c r="E16" i="3"/>
  <c r="E14" i="3"/>
  <c r="E12" i="3"/>
  <c r="D43" i="3"/>
  <c r="D41" i="3"/>
  <c r="D39" i="3"/>
  <c r="D37" i="3"/>
  <c r="D35" i="3"/>
  <c r="D33" i="3"/>
  <c r="D24" i="3"/>
  <c r="D22" i="3"/>
  <c r="D20" i="3"/>
  <c r="D18" i="3"/>
  <c r="D16" i="3"/>
  <c r="D14" i="3"/>
  <c r="D12" i="3"/>
  <c r="G30" i="1"/>
  <c r="G28" i="1"/>
  <c r="G26" i="1"/>
  <c r="G24" i="1"/>
  <c r="G22" i="1"/>
  <c r="G20" i="1"/>
  <c r="G18" i="1"/>
  <c r="G16" i="1"/>
  <c r="G14" i="1"/>
  <c r="G12" i="1"/>
  <c r="F24" i="1"/>
  <c r="F22" i="1"/>
  <c r="F20" i="1"/>
  <c r="F18" i="1"/>
  <c r="F30" i="1"/>
  <c r="F28" i="1"/>
  <c r="F26" i="1"/>
  <c r="F16" i="1"/>
  <c r="F14" i="1"/>
  <c r="F12" i="1"/>
  <c r="E30" i="1"/>
  <c r="E28" i="1"/>
  <c r="E26" i="1"/>
  <c r="E24" i="1"/>
  <c r="E22" i="1"/>
  <c r="E20" i="1"/>
  <c r="E18" i="1"/>
  <c r="E16" i="1"/>
  <c r="E14" i="1"/>
  <c r="E12" i="1"/>
  <c r="G40" i="3"/>
  <c r="G38" i="3"/>
  <c r="G36" i="3"/>
  <c r="G34" i="3"/>
  <c r="G32" i="3"/>
  <c r="G25" i="3"/>
  <c r="G23" i="3"/>
  <c r="G21" i="3"/>
  <c r="G19" i="3"/>
  <c r="G17" i="3"/>
  <c r="G15" i="3"/>
  <c r="G13" i="3"/>
  <c r="G11" i="3"/>
  <c r="D30" i="1"/>
  <c r="D28" i="1"/>
  <c r="D26" i="1"/>
  <c r="D24" i="1"/>
  <c r="D22" i="1"/>
  <c r="D20" i="1"/>
  <c r="D18" i="1"/>
  <c r="D14" i="1"/>
  <c r="D12" i="1"/>
  <c r="F38" i="3" l="1"/>
  <c r="F36" i="3"/>
  <c r="F34" i="3"/>
  <c r="F32" i="3"/>
  <c r="F25" i="3"/>
  <c r="F23" i="3"/>
  <c r="F21" i="3"/>
  <c r="F19" i="3"/>
  <c r="F17" i="3"/>
  <c r="F15" i="3"/>
  <c r="F13" i="3"/>
  <c r="F11" i="3"/>
  <c r="F27" i="1" l="1"/>
  <c r="G27" i="1" s="1"/>
  <c r="F25" i="1"/>
  <c r="G25" i="1" s="1"/>
  <c r="F13" i="1"/>
  <c r="G13" i="1" s="1"/>
  <c r="F11" i="1"/>
  <c r="G11" i="1" s="1"/>
  <c r="E42" i="3"/>
  <c r="F42" i="3" s="1"/>
  <c r="E40" i="3"/>
  <c r="E38" i="3"/>
  <c r="E36" i="3"/>
  <c r="E34" i="3"/>
  <c r="E32" i="3"/>
  <c r="E25" i="3"/>
  <c r="E23" i="3"/>
  <c r="E21" i="3"/>
  <c r="E19" i="3"/>
  <c r="E17" i="3"/>
  <c r="E15" i="3"/>
  <c r="E13" i="3"/>
  <c r="E11" i="3"/>
  <c r="D36" i="3"/>
  <c r="D17" i="3"/>
  <c r="E29" i="1"/>
  <c r="F29" i="1" s="1"/>
  <c r="G29" i="1" s="1"/>
  <c r="E27" i="1"/>
  <c r="E25" i="1"/>
  <c r="E23" i="1"/>
  <c r="F23" i="1" s="1"/>
  <c r="G23" i="1" s="1"/>
  <c r="E21" i="1"/>
  <c r="F21" i="1" s="1"/>
  <c r="G21" i="1" s="1"/>
  <c r="E19" i="1"/>
  <c r="F19" i="1" s="1"/>
  <c r="G19" i="1" s="1"/>
  <c r="E17" i="1"/>
  <c r="F17" i="1" s="1"/>
  <c r="G17" i="1" s="1"/>
  <c r="E13" i="1"/>
  <c r="E11" i="1"/>
  <c r="D15" i="1"/>
  <c r="D16" i="1" s="1"/>
  <c r="E15" i="1" l="1"/>
  <c r="F15" i="1"/>
  <c r="G15" i="1" s="1"/>
</calcChain>
</file>

<file path=xl/sharedStrings.xml><?xml version="1.0" encoding="utf-8"?>
<sst xmlns="http://schemas.openxmlformats.org/spreadsheetml/2006/main" count="127" uniqueCount="85">
  <si>
    <t>売上高</t>
    <rPh sb="0" eb="3">
      <t>ウリアゲダカ</t>
    </rPh>
    <phoneticPr fontId="2"/>
  </si>
  <si>
    <t>Net Sales</t>
    <phoneticPr fontId="2"/>
  </si>
  <si>
    <t>国内</t>
    <rPh sb="0" eb="2">
      <t>コクナイ</t>
    </rPh>
    <phoneticPr fontId="2"/>
  </si>
  <si>
    <t>海外</t>
    <rPh sb="0" eb="2">
      <t>カイガイ</t>
    </rPh>
    <phoneticPr fontId="2"/>
  </si>
  <si>
    <t>Overseas Sales</t>
    <phoneticPr fontId="2"/>
  </si>
  <si>
    <t>営業利益</t>
    <rPh sb="0" eb="4">
      <t>エイギョウリエキ</t>
    </rPh>
    <phoneticPr fontId="2"/>
  </si>
  <si>
    <t>Japan Sales</t>
    <phoneticPr fontId="2"/>
  </si>
  <si>
    <t>Operating Income</t>
    <phoneticPr fontId="2"/>
  </si>
  <si>
    <t>Ordinary Income</t>
    <phoneticPr fontId="2"/>
  </si>
  <si>
    <t>経常利益</t>
    <rPh sb="0" eb="4">
      <t>ケイジョウリエキ</t>
    </rPh>
    <phoneticPr fontId="2"/>
  </si>
  <si>
    <t>当期純利益（※1）</t>
    <rPh sb="0" eb="2">
      <t>トウキ</t>
    </rPh>
    <rPh sb="2" eb="5">
      <t>ジュンリエキ</t>
    </rPh>
    <phoneticPr fontId="2"/>
  </si>
  <si>
    <t>Net Income (※1)</t>
    <phoneticPr fontId="2"/>
  </si>
  <si>
    <t>FY2022.3</t>
    <phoneticPr fontId="2"/>
  </si>
  <si>
    <t>FY2024.3</t>
    <phoneticPr fontId="2"/>
  </si>
  <si>
    <t>FY2025.3</t>
    <phoneticPr fontId="2"/>
  </si>
  <si>
    <t>Kawai Musical Instruments Mfg. Co., Ltd.</t>
  </si>
  <si>
    <t>※1　親会社株主に帰属する当期純利益</t>
    <rPh sb="3" eb="6">
      <t>オヤガイシャ</t>
    </rPh>
    <rPh sb="6" eb="8">
      <t>カブヌシ</t>
    </rPh>
    <rPh sb="9" eb="11">
      <t>キゾク</t>
    </rPh>
    <rPh sb="13" eb="18">
      <t>トウキジュンリエキ</t>
    </rPh>
    <phoneticPr fontId="2"/>
  </si>
  <si>
    <t>※1　Net Income is this term's net profit attributing to the shareholders of the parent company.</t>
    <phoneticPr fontId="2"/>
  </si>
  <si>
    <t>上段：百万円　下段：増減率</t>
    <rPh sb="0" eb="2">
      <t>ジョウダン</t>
    </rPh>
    <rPh sb="3" eb="6">
      <t>ヒャクマンエン</t>
    </rPh>
    <rPh sb="7" eb="9">
      <t>ゲダン</t>
    </rPh>
    <rPh sb="10" eb="13">
      <t>ゾウゲンリツ</t>
    </rPh>
    <phoneticPr fontId="2"/>
  </si>
  <si>
    <t>Upper: Millions of yen,  Lower: Y/Y</t>
    <phoneticPr fontId="2"/>
  </si>
  <si>
    <t>北米</t>
    <rPh sb="0" eb="2">
      <t>ホクベイ</t>
    </rPh>
    <phoneticPr fontId="2"/>
  </si>
  <si>
    <t>欧州</t>
    <rPh sb="0" eb="2">
      <t>オウシュウ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</si>
  <si>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</si>
  <si>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</si>
  <si>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North America</t>
    <phoneticPr fontId="2"/>
  </si>
  <si>
    <t>Europe</t>
    <phoneticPr fontId="2"/>
  </si>
  <si>
    <t xml:space="preserve"> China</t>
    <phoneticPr fontId="2"/>
  </si>
  <si>
    <t>Other Areas</t>
    <phoneticPr fontId="2"/>
  </si>
  <si>
    <t>USドル　US$</t>
    <phoneticPr fontId="2"/>
  </si>
  <si>
    <t>ユーロ     EUR</t>
    <phoneticPr fontId="2"/>
  </si>
  <si>
    <t>人民元     CNY</t>
    <rPh sb="0" eb="3">
      <t>ジンミンゲン</t>
    </rPh>
    <phoneticPr fontId="2"/>
  </si>
  <si>
    <t>単位：円　Yen</t>
    <rPh sb="0" eb="2">
      <t>タンイ</t>
    </rPh>
    <rPh sb="3" eb="4">
      <t>エン</t>
    </rPh>
    <phoneticPr fontId="2"/>
  </si>
  <si>
    <t>事業別売上高</t>
    <rPh sb="0" eb="3">
      <t>ジギョウベツ</t>
    </rPh>
    <rPh sb="3" eb="6">
      <t>ウリアゲダカ</t>
    </rPh>
    <phoneticPr fontId="2"/>
  </si>
  <si>
    <t>Sales by Business Segment</t>
    <phoneticPr fontId="2"/>
  </si>
  <si>
    <t>楽器教育</t>
    <rPh sb="0" eb="4">
      <t>ガッキキョウイク</t>
    </rPh>
    <phoneticPr fontId="2"/>
  </si>
  <si>
    <t>素材加工</t>
    <rPh sb="0" eb="4">
      <t>ソザイカコウ</t>
    </rPh>
    <phoneticPr fontId="2"/>
  </si>
  <si>
    <t>事業別営業利益</t>
    <rPh sb="0" eb="3">
      <t>ジギョウベツ</t>
    </rPh>
    <rPh sb="3" eb="7">
      <t>エイギョウリエキ</t>
    </rPh>
    <phoneticPr fontId="2"/>
  </si>
  <si>
    <t>Operating Income by Business Segment</t>
    <phoneticPr fontId="2"/>
  </si>
  <si>
    <t>Material Processing Business</t>
    <phoneticPr fontId="2"/>
  </si>
  <si>
    <t>ピアノ</t>
    <phoneticPr fontId="2"/>
  </si>
  <si>
    <t>電子ピアノ</t>
    <rPh sb="0" eb="2">
      <t>デンシ</t>
    </rPh>
    <phoneticPr fontId="2"/>
  </si>
  <si>
    <t>国内売上</t>
    <rPh sb="0" eb="2">
      <t>コクナイ</t>
    </rPh>
    <rPh sb="2" eb="4">
      <t>ウリアゲ</t>
    </rPh>
    <phoneticPr fontId="2"/>
  </si>
  <si>
    <t>海外売上</t>
    <rPh sb="0" eb="4">
      <t>カイガイウリアゲ</t>
    </rPh>
    <phoneticPr fontId="2"/>
  </si>
  <si>
    <t>Piano</t>
    <phoneticPr fontId="2"/>
  </si>
  <si>
    <t>Digital Piano</t>
    <phoneticPr fontId="2"/>
  </si>
  <si>
    <t>（百万円）</t>
    <rPh sb="1" eb="4">
      <t>ヒャクマンエン</t>
    </rPh>
    <phoneticPr fontId="2"/>
  </si>
  <si>
    <t>（Millions of yen）</t>
    <phoneticPr fontId="2"/>
  </si>
  <si>
    <t>無形固定資産
Intangible assets</t>
    <rPh sb="0" eb="6">
      <t>ムケイコテイシサン</t>
    </rPh>
    <phoneticPr fontId="2"/>
  </si>
  <si>
    <r>
      <t>1.連結業績　</t>
    </r>
    <r>
      <rPr>
        <sz val="12"/>
        <color theme="1"/>
        <rFont val="Yu Gothic"/>
        <family val="3"/>
        <charset val="128"/>
        <scheme val="minor"/>
      </rPr>
      <t>Consolidated Financial Results</t>
    </r>
    <rPh sb="2" eb="4">
      <t>レンケツ</t>
    </rPh>
    <rPh sb="4" eb="6">
      <t>ギョウセキ</t>
    </rPh>
    <phoneticPr fontId="2"/>
  </si>
  <si>
    <r>
      <t>売上換算レート　</t>
    </r>
    <r>
      <rPr>
        <sz val="12"/>
        <color theme="1"/>
        <rFont val="Yu Gothic"/>
        <family val="3"/>
        <charset val="128"/>
        <scheme val="minor"/>
      </rPr>
      <t>Exchange rates</t>
    </r>
    <rPh sb="0" eb="2">
      <t>ウリアゲ</t>
    </rPh>
    <rPh sb="2" eb="4">
      <t>カンサン</t>
    </rPh>
    <phoneticPr fontId="2"/>
  </si>
  <si>
    <t>Others</t>
    <phoneticPr fontId="2"/>
  </si>
  <si>
    <t>Musical Instruments and Education Related Business</t>
    <phoneticPr fontId="2"/>
  </si>
  <si>
    <r>
      <t>4.連結貸借対照表の主要項目　</t>
    </r>
    <r>
      <rPr>
        <sz val="12"/>
        <color theme="1"/>
        <rFont val="Yu Gothic"/>
        <family val="3"/>
        <charset val="128"/>
        <scheme val="minor"/>
      </rPr>
      <t>Main items of consolidated balance sheets</t>
    </r>
    <rPh sb="2" eb="4">
      <t>レンケツ</t>
    </rPh>
    <rPh sb="4" eb="9">
      <t>タイシャクタイショウヒョウ</t>
    </rPh>
    <rPh sb="10" eb="12">
      <t>シュヨウ</t>
    </rPh>
    <rPh sb="12" eb="14">
      <t>コウモク</t>
    </rPh>
    <phoneticPr fontId="2"/>
  </si>
  <si>
    <r>
      <t>3.鍵盤楽器販売金額　</t>
    </r>
    <r>
      <rPr>
        <sz val="12"/>
        <color theme="1"/>
        <rFont val="Yu Gothic"/>
        <family val="3"/>
        <charset val="128"/>
        <scheme val="minor"/>
      </rPr>
      <t>Sales of Keyboard Instruments</t>
    </r>
    <rPh sb="2" eb="4">
      <t>ケンバン</t>
    </rPh>
    <rPh sb="4" eb="6">
      <t>ガッキ</t>
    </rPh>
    <rPh sb="6" eb="8">
      <t>ハンバイ</t>
    </rPh>
    <rPh sb="8" eb="10">
      <t>キンガク</t>
    </rPh>
    <phoneticPr fontId="2"/>
  </si>
  <si>
    <t>流動資産
Current assets</t>
    <rPh sb="0" eb="4">
      <t>リュウドウシサン</t>
    </rPh>
    <phoneticPr fontId="2"/>
  </si>
  <si>
    <t>現金及び預金
Cash and deposits</t>
    <rPh sb="0" eb="2">
      <t>ゲンキン</t>
    </rPh>
    <rPh sb="2" eb="3">
      <t>オヨ</t>
    </rPh>
    <rPh sb="4" eb="6">
      <t>ヨキン</t>
    </rPh>
    <phoneticPr fontId="2"/>
  </si>
  <si>
    <t>固定資産
Non-current assets</t>
    <rPh sb="0" eb="4">
      <t>コテイシサン</t>
    </rPh>
    <phoneticPr fontId="2"/>
  </si>
  <si>
    <t>投資その他の資産
Investments and other assets</t>
    <rPh sb="0" eb="2">
      <t>トウシ</t>
    </rPh>
    <rPh sb="4" eb="5">
      <t>タ</t>
    </rPh>
    <rPh sb="6" eb="8">
      <t>シサン</t>
    </rPh>
    <phoneticPr fontId="2"/>
  </si>
  <si>
    <t>資産合計
Total assets</t>
    <rPh sb="0" eb="2">
      <t>シサン</t>
    </rPh>
    <rPh sb="2" eb="4">
      <t>ゴウケイ</t>
    </rPh>
    <phoneticPr fontId="2"/>
  </si>
  <si>
    <t>流動負債
Current liabilities</t>
    <rPh sb="0" eb="2">
      <t>リュウドウ</t>
    </rPh>
    <rPh sb="2" eb="4">
      <t>フサイ</t>
    </rPh>
    <phoneticPr fontId="2"/>
  </si>
  <si>
    <t>固定負債
Non-current liabilities</t>
    <rPh sb="0" eb="2">
      <t>コテイ</t>
    </rPh>
    <rPh sb="2" eb="4">
      <t>フサイ</t>
    </rPh>
    <phoneticPr fontId="2"/>
  </si>
  <si>
    <t>負債合計
Total liabilities</t>
    <rPh sb="0" eb="2">
      <t>フサイ</t>
    </rPh>
    <rPh sb="2" eb="4">
      <t>ゴウケイ</t>
    </rPh>
    <phoneticPr fontId="2"/>
  </si>
  <si>
    <t>純資産合計
Total net assets</t>
    <rPh sb="0" eb="3">
      <t>ジュンシサン</t>
    </rPh>
    <rPh sb="3" eb="5">
      <t>ゴウケイ</t>
    </rPh>
    <phoneticPr fontId="2"/>
  </si>
  <si>
    <t>有形固定資産
Property, plant and equipment</t>
    <rPh sb="0" eb="2">
      <t>ユウケイ</t>
    </rPh>
    <rPh sb="2" eb="6">
      <t>コテイシサン</t>
    </rPh>
    <phoneticPr fontId="2"/>
  </si>
  <si>
    <r>
      <t>2.事業別業績　</t>
    </r>
    <r>
      <rPr>
        <sz val="12"/>
        <color theme="1"/>
        <rFont val="Yu Gothic"/>
        <family val="3"/>
        <charset val="128"/>
        <scheme val="minor"/>
      </rPr>
      <t>Sales / Operating Income by Business segment</t>
    </r>
    <rPh sb="2" eb="5">
      <t>ジギョウベツ</t>
    </rPh>
    <rPh sb="5" eb="7">
      <t>ギョウセキ</t>
    </rPh>
    <phoneticPr fontId="2"/>
  </si>
  <si>
    <t>負債純資産合計
Total liabilities and net assets</t>
    <rPh sb="0" eb="2">
      <t>フサイ</t>
    </rPh>
    <rPh sb="2" eb="5">
      <t>ジュンシサン</t>
    </rPh>
    <rPh sb="5" eb="7">
      <t>ゴウケイ</t>
    </rPh>
    <phoneticPr fontId="2"/>
  </si>
  <si>
    <t>短期借入金
Short-term borrowings</t>
    <rPh sb="0" eb="2">
      <t>タンキ</t>
    </rPh>
    <rPh sb="2" eb="5">
      <t>カリイレキン</t>
    </rPh>
    <phoneticPr fontId="2"/>
  </si>
  <si>
    <t>長期借入金
Long-term borrowings</t>
    <rPh sb="0" eb="2">
      <t>チョウキ</t>
    </rPh>
    <rPh sb="2" eb="5">
      <t>カリイレキン</t>
    </rPh>
    <phoneticPr fontId="2"/>
  </si>
  <si>
    <t>2025年3月期第1四半期　ファクトシート</t>
    <rPh sb="4" eb="5">
      <t>ネン</t>
    </rPh>
    <rPh sb="6" eb="8">
      <t>ガツキ</t>
    </rPh>
    <rPh sb="8" eb="9">
      <t>ダイ</t>
    </rPh>
    <rPh sb="10" eb="13">
      <t>シハンキ</t>
    </rPh>
    <phoneticPr fontId="2"/>
  </si>
  <si>
    <t>First Quarter of FY2025.3　Fact Sheet</t>
    <phoneticPr fontId="2"/>
  </si>
  <si>
    <t>FY2024.3</t>
  </si>
  <si>
    <t>1Q</t>
  </si>
  <si>
    <t>1Q</t>
    <phoneticPr fontId="2"/>
  </si>
  <si>
    <t>2Q</t>
  </si>
  <si>
    <t>2Q</t>
    <phoneticPr fontId="2"/>
  </si>
  <si>
    <t>3Q</t>
  </si>
  <si>
    <t>3Q</t>
    <phoneticPr fontId="2"/>
  </si>
  <si>
    <t>4Q</t>
  </si>
  <si>
    <t>上段：百万円　下段：前年同期比増減率</t>
    <rPh sb="0" eb="2">
      <t>ジョウダン</t>
    </rPh>
    <rPh sb="3" eb="6">
      <t>ヒャクマンエン</t>
    </rPh>
    <rPh sb="7" eb="9">
      <t>ゲダン</t>
    </rPh>
    <rPh sb="10" eb="15">
      <t>ゼンネンドウキヒ</t>
    </rPh>
    <rPh sb="15" eb="18">
      <t>ゾウゲンリツ</t>
    </rPh>
    <phoneticPr fontId="2"/>
  </si>
  <si>
    <t>FY2023.3</t>
  </si>
  <si>
    <t>FY2024.3
1Q</t>
    <phoneticPr fontId="2"/>
  </si>
  <si>
    <t>通期/FY</t>
    <rPh sb="0" eb="2">
      <t>ツウキ</t>
    </rPh>
    <phoneticPr fontId="2"/>
  </si>
  <si>
    <t>－</t>
    <phoneticPr fontId="2"/>
  </si>
  <si>
    <t>－</t>
  </si>
  <si>
    <t>FY2025.3
1Q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</si>
</sst>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+0.0%;[Red]\△0.0%"/>
    <numFmt numFmtId="177" formatCode="#,##0;[Red]\△#,##0"/>
    <numFmt numFmtId="178" formatCode="#,##0.0;[Red]\-#,##0.0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9.5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0" fillId="0" borderId="0" xfId="0" applyAlignment="1">
      <alignment horizontal="right"/>
    </xf>
    <xf numFmtId="0" fontId="0" fillId="2" borderId="9" xfId="0" applyFill="1" applyBorder="1"/>
    <xf numFmtId="0" fontId="0" fillId="2" borderId="10" xfId="0" applyFill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0" fillId="2" borderId="23" xfId="0" applyFill="1" applyBorder="1"/>
    <xf numFmtId="0" fontId="0" fillId="2" borderId="24" xfId="0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ill="1"/>
    <xf numFmtId="49" fontId="0" fillId="2" borderId="33" xfId="0" applyNumberFormat="1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/>
    <xf numFmtId="177" fontId="0" fillId="2" borderId="12" xfId="1" applyNumberFormat="1" applyFont="1" applyFill="1" applyBorder="1" applyAlignment="1">
      <alignment vertical="center"/>
    </xf>
    <xf numFmtId="177" fontId="0" fillId="2" borderId="18" xfId="1" applyNumberFormat="1" applyFont="1" applyFill="1" applyBorder="1" applyAlignment="1">
      <alignment vertical="center"/>
    </xf>
    <xf numFmtId="176" fontId="0" fillId="2" borderId="4" xfId="2" applyNumberFormat="1" applyFont="1" applyFill="1" applyBorder="1" applyAlignment="1">
      <alignment vertical="center"/>
    </xf>
    <xf numFmtId="176" fontId="0" fillId="2" borderId="17" xfId="2" applyNumberFormat="1" applyFont="1" applyFill="1" applyBorder="1" applyAlignment="1">
      <alignment vertical="center"/>
    </xf>
    <xf numFmtId="176" fontId="0" fillId="2" borderId="8" xfId="2" applyNumberFormat="1" applyFont="1" applyFill="1" applyBorder="1" applyAlignment="1">
      <alignment vertical="center"/>
    </xf>
    <xf numFmtId="176" fontId="0" fillId="2" borderId="16" xfId="2" applyNumberFormat="1" applyFont="1" applyFill="1" applyBorder="1" applyAlignment="1">
      <alignment vertical="center"/>
    </xf>
    <xf numFmtId="177" fontId="0" fillId="2" borderId="14" xfId="1" applyNumberFormat="1" applyFont="1" applyFill="1" applyBorder="1" applyAlignment="1">
      <alignment vertical="center"/>
    </xf>
    <xf numFmtId="177" fontId="0" fillId="2" borderId="25" xfId="1" applyNumberFormat="1" applyFont="1" applyFill="1" applyBorder="1" applyAlignment="1">
      <alignment vertical="center"/>
    </xf>
    <xf numFmtId="177" fontId="0" fillId="2" borderId="6" xfId="1" applyNumberFormat="1" applyFont="1" applyFill="1" applyBorder="1" applyAlignment="1">
      <alignment vertical="center"/>
    </xf>
    <xf numFmtId="177" fontId="0" fillId="2" borderId="15" xfId="1" applyNumberFormat="1" applyFont="1" applyFill="1" applyBorder="1" applyAlignment="1">
      <alignment vertical="center"/>
    </xf>
    <xf numFmtId="178" fontId="0" fillId="0" borderId="4" xfId="1" applyNumberFormat="1" applyFont="1" applyBorder="1" applyAlignment="1">
      <alignment vertical="center"/>
    </xf>
    <xf numFmtId="178" fontId="0" fillId="0" borderId="1" xfId="1" applyNumberFormat="1" applyFont="1" applyBorder="1" applyAlignment="1">
      <alignment vertical="center"/>
    </xf>
    <xf numFmtId="178" fontId="0" fillId="0" borderId="19" xfId="1" applyNumberFormat="1" applyFont="1" applyBorder="1" applyAlignment="1">
      <alignment vertical="center"/>
    </xf>
    <xf numFmtId="178" fontId="0" fillId="0" borderId="2" xfId="1" applyNumberFormat="1" applyFont="1" applyBorder="1" applyAlignment="1">
      <alignment vertical="center"/>
    </xf>
    <xf numFmtId="178" fontId="0" fillId="0" borderId="20" xfId="1" applyNumberFormat="1" applyFont="1" applyBorder="1" applyAlignment="1">
      <alignment vertical="center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2" borderId="5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 indent="1"/>
    </xf>
    <xf numFmtId="0" fontId="5" fillId="2" borderId="17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17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indent="1"/>
    </xf>
    <xf numFmtId="0" fontId="5" fillId="2" borderId="17" xfId="0" applyFont="1" applyFill="1" applyBorder="1" applyAlignment="1">
      <alignment horizontal="left" vertical="center" indent="1"/>
    </xf>
    <xf numFmtId="0" fontId="5" fillId="2" borderId="25" xfId="0" applyFont="1" applyFill="1" applyBorder="1" applyAlignment="1">
      <alignment horizontal="left" vertical="center" indent="3"/>
    </xf>
    <xf numFmtId="0" fontId="5" fillId="2" borderId="17" xfId="0" applyFont="1" applyFill="1" applyBorder="1" applyAlignment="1">
      <alignment horizontal="left" vertical="center" indent="3"/>
    </xf>
    <xf numFmtId="0" fontId="5" fillId="2" borderId="13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0" fillId="0" borderId="0" xfId="0" applyAlignment="1">
      <alignment vertical="center"/>
    </xf>
    <xf numFmtId="0" fontId="0" fillId="2" borderId="31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 indent="2"/>
    </xf>
    <xf numFmtId="0" fontId="0" fillId="2" borderId="31" xfId="0" applyFont="1" applyFill="1" applyBorder="1" applyAlignment="1">
      <alignment horizontal="left" vertical="center" wrapText="1" indent="2"/>
    </xf>
    <xf numFmtId="0" fontId="0" fillId="2" borderId="9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7" fillId="0" borderId="0" xfId="0" applyFont="1" applyFill="1"/>
    <xf numFmtId="0" fontId="8" fillId="0" borderId="0" xfId="0" applyFont="1" applyAlignment="1">
      <alignment horizontal="right"/>
    </xf>
    <xf numFmtId="178" fontId="0" fillId="0" borderId="37" xfId="1" applyNumberFormat="1" applyFont="1" applyBorder="1" applyAlignment="1">
      <alignment vertical="center"/>
    </xf>
    <xf numFmtId="178" fontId="0" fillId="0" borderId="38" xfId="1" applyNumberFormat="1" applyFont="1" applyBorder="1" applyAlignment="1">
      <alignment vertical="center"/>
    </xf>
    <xf numFmtId="178" fontId="0" fillId="0" borderId="39" xfId="1" applyNumberFormat="1" applyFont="1" applyBorder="1" applyAlignment="1">
      <alignment vertical="center"/>
    </xf>
    <xf numFmtId="0" fontId="11" fillId="0" borderId="0" xfId="0" applyFont="1"/>
    <xf numFmtId="0" fontId="11" fillId="0" borderId="0" xfId="0" applyFont="1" applyFill="1"/>
    <xf numFmtId="0" fontId="13" fillId="2" borderId="17" xfId="0" applyFont="1" applyFill="1" applyBorder="1" applyAlignment="1">
      <alignment horizontal="left" vertical="center" wrapText="1" indent="1"/>
    </xf>
    <xf numFmtId="0" fontId="0" fillId="2" borderId="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77" fontId="5" fillId="2" borderId="15" xfId="1" applyNumberFormat="1" applyFont="1" applyFill="1" applyBorder="1" applyAlignment="1">
      <alignment vertical="center"/>
    </xf>
    <xf numFmtId="176" fontId="5" fillId="2" borderId="17" xfId="2" applyNumberFormat="1" applyFont="1" applyFill="1" applyBorder="1" applyAlignment="1">
      <alignment vertical="center"/>
    </xf>
    <xf numFmtId="177" fontId="5" fillId="2" borderId="18" xfId="1" applyNumberFormat="1" applyFont="1" applyFill="1" applyBorder="1" applyAlignment="1">
      <alignment vertical="center"/>
    </xf>
    <xf numFmtId="177" fontId="0" fillId="2" borderId="40" xfId="1" applyNumberFormat="1" applyFont="1" applyFill="1" applyBorder="1" applyAlignment="1">
      <alignment vertical="center"/>
    </xf>
    <xf numFmtId="176" fontId="0" fillId="2" borderId="37" xfId="2" applyNumberFormat="1" applyFont="1" applyFill="1" applyBorder="1" applyAlignment="1">
      <alignment vertical="center"/>
    </xf>
    <xf numFmtId="177" fontId="0" fillId="2" borderId="41" xfId="1" applyNumberFormat="1" applyFont="1" applyFill="1" applyBorder="1" applyAlignment="1">
      <alignment vertical="center"/>
    </xf>
    <xf numFmtId="0" fontId="0" fillId="2" borderId="48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177" fontId="0" fillId="2" borderId="51" xfId="1" applyNumberFormat="1" applyFont="1" applyFill="1" applyBorder="1" applyAlignment="1">
      <alignment vertical="center"/>
    </xf>
    <xf numFmtId="176" fontId="0" fillId="2" borderId="52" xfId="2" applyNumberFormat="1" applyFont="1" applyFill="1" applyBorder="1" applyAlignment="1">
      <alignment vertical="center"/>
    </xf>
    <xf numFmtId="177" fontId="0" fillId="2" borderId="53" xfId="1" applyNumberFormat="1" applyFont="1" applyFill="1" applyBorder="1" applyAlignment="1">
      <alignment vertical="center"/>
    </xf>
    <xf numFmtId="0" fontId="0" fillId="0" borderId="55" xfId="0" applyBorder="1" applyAlignment="1">
      <alignment horizontal="left" vertical="center" indent="1"/>
    </xf>
    <xf numFmtId="0" fontId="0" fillId="0" borderId="56" xfId="0" applyBorder="1" applyAlignment="1">
      <alignment horizontal="left" vertical="center" indent="1"/>
    </xf>
    <xf numFmtId="0" fontId="0" fillId="0" borderId="57" xfId="0" applyBorder="1" applyAlignment="1">
      <alignment horizontal="left" vertical="center" indent="1"/>
    </xf>
    <xf numFmtId="178" fontId="0" fillId="0" borderId="52" xfId="1" applyNumberFormat="1" applyFont="1" applyBorder="1" applyAlignment="1">
      <alignment vertical="center"/>
    </xf>
    <xf numFmtId="178" fontId="0" fillId="0" borderId="54" xfId="1" applyNumberFormat="1" applyFont="1" applyBorder="1" applyAlignment="1">
      <alignment vertical="center"/>
    </xf>
    <xf numFmtId="178" fontId="0" fillId="0" borderId="58" xfId="1" applyNumberFormat="1" applyFont="1" applyBorder="1" applyAlignment="1">
      <alignment vertical="center"/>
    </xf>
    <xf numFmtId="178" fontId="0" fillId="0" borderId="59" xfId="1" applyNumberFormat="1" applyFont="1" applyBorder="1" applyAlignment="1">
      <alignment vertical="center"/>
    </xf>
    <xf numFmtId="176" fontId="0" fillId="2" borderId="50" xfId="2" applyNumberFormat="1" applyFont="1" applyFill="1" applyBorder="1" applyAlignment="1">
      <alignment vertical="center"/>
    </xf>
    <xf numFmtId="177" fontId="0" fillId="2" borderId="46" xfId="1" applyNumberFormat="1" applyFont="1" applyFill="1" applyBorder="1" applyAlignment="1">
      <alignment vertical="center"/>
    </xf>
    <xf numFmtId="176" fontId="0" fillId="2" borderId="36" xfId="2" applyNumberFormat="1" applyFont="1" applyFill="1" applyBorder="1" applyAlignment="1">
      <alignment vertical="center"/>
    </xf>
    <xf numFmtId="177" fontId="0" fillId="2" borderId="43" xfId="1" applyNumberFormat="1" applyFont="1" applyFill="1" applyBorder="1" applyAlignment="1">
      <alignment vertical="center"/>
    </xf>
    <xf numFmtId="176" fontId="0" fillId="2" borderId="42" xfId="2" applyNumberFormat="1" applyFont="1" applyFill="1" applyBorder="1" applyAlignment="1">
      <alignment vertical="center"/>
    </xf>
    <xf numFmtId="176" fontId="5" fillId="2" borderId="16" xfId="2" applyNumberFormat="1" applyFont="1" applyFill="1" applyBorder="1" applyAlignment="1">
      <alignment vertical="center"/>
    </xf>
    <xf numFmtId="177" fontId="5" fillId="2" borderId="25" xfId="1" applyNumberFormat="1" applyFont="1" applyFill="1" applyBorder="1" applyAlignment="1">
      <alignment vertical="center"/>
    </xf>
    <xf numFmtId="0" fontId="5" fillId="2" borderId="60" xfId="0" applyFont="1" applyFill="1" applyBorder="1" applyAlignment="1">
      <alignment horizontal="left" vertical="center"/>
    </xf>
    <xf numFmtId="38" fontId="0" fillId="2" borderId="29" xfId="1" applyFont="1" applyFill="1" applyBorder="1" applyAlignment="1">
      <alignment vertical="center"/>
    </xf>
    <xf numFmtId="38" fontId="0" fillId="2" borderId="30" xfId="1" applyFont="1" applyFill="1" applyBorder="1" applyAlignment="1">
      <alignment vertical="center"/>
    </xf>
    <xf numFmtId="38" fontId="0" fillId="2" borderId="44" xfId="1" applyFont="1" applyFill="1" applyBorder="1" applyAlignment="1">
      <alignment vertical="center"/>
    </xf>
    <xf numFmtId="38" fontId="0" fillId="2" borderId="31" xfId="1" applyFont="1" applyFill="1" applyBorder="1" applyAlignment="1">
      <alignment vertical="center"/>
    </xf>
    <xf numFmtId="38" fontId="0" fillId="2" borderId="45" xfId="1" applyFont="1" applyFill="1" applyBorder="1" applyAlignment="1">
      <alignment vertical="center"/>
    </xf>
    <xf numFmtId="38" fontId="0" fillId="0" borderId="0" xfId="1" applyFont="1" applyAlignment="1"/>
    <xf numFmtId="0" fontId="5" fillId="2" borderId="7" xfId="0" applyFont="1" applyFill="1" applyBorder="1" applyAlignment="1">
      <alignment horizontal="left" vertical="center" indent="1"/>
    </xf>
    <xf numFmtId="0" fontId="5" fillId="2" borderId="49" xfId="0" applyFont="1" applyFill="1" applyBorder="1" applyAlignment="1">
      <alignment horizontal="left" vertical="center" indent="1"/>
    </xf>
    <xf numFmtId="176" fontId="5" fillId="2" borderId="49" xfId="2" applyNumberFormat="1" applyFont="1" applyFill="1" applyBorder="1" applyAlignment="1">
      <alignment vertical="center"/>
    </xf>
    <xf numFmtId="0" fontId="0" fillId="3" borderId="16" xfId="0" applyFill="1" applyBorder="1" applyAlignment="1">
      <alignment horizontal="center" vertical="center" wrapText="1"/>
    </xf>
    <xf numFmtId="178" fontId="0" fillId="3" borderId="17" xfId="1" applyNumberFormat="1" applyFont="1" applyFill="1" applyBorder="1" applyAlignment="1">
      <alignment vertical="center"/>
    </xf>
    <xf numFmtId="178" fontId="0" fillId="3" borderId="19" xfId="1" applyNumberFormat="1" applyFont="1" applyFill="1" applyBorder="1" applyAlignment="1">
      <alignment vertical="center"/>
    </xf>
    <xf numFmtId="178" fontId="0" fillId="3" borderId="20" xfId="1" applyNumberFormat="1" applyFont="1" applyFill="1" applyBorder="1" applyAlignment="1">
      <alignment vertical="center"/>
    </xf>
    <xf numFmtId="176" fontId="0" fillId="2" borderId="37" xfId="2" applyNumberFormat="1" applyFont="1" applyFill="1" applyBorder="1" applyAlignment="1">
      <alignment horizontal="right" vertical="center"/>
    </xf>
    <xf numFmtId="176" fontId="0" fillId="2" borderId="42" xfId="2" applyNumberFormat="1" applyFont="1" applyFill="1" applyBorder="1" applyAlignment="1">
      <alignment horizontal="right" vertical="center"/>
    </xf>
    <xf numFmtId="178" fontId="0" fillId="2" borderId="37" xfId="1" applyNumberFormat="1" applyFont="1" applyFill="1" applyBorder="1" applyAlignment="1">
      <alignment vertical="center"/>
    </xf>
    <xf numFmtId="178" fontId="0" fillId="2" borderId="38" xfId="1" applyNumberFormat="1" applyFont="1" applyFill="1" applyBorder="1" applyAlignment="1">
      <alignment vertical="center"/>
    </xf>
    <xf numFmtId="178" fontId="0" fillId="2" borderId="39" xfId="1" applyNumberFormat="1" applyFont="1" applyFill="1" applyBorder="1" applyAlignment="1">
      <alignment vertical="center"/>
    </xf>
    <xf numFmtId="177" fontId="0" fillId="2" borderId="41" xfId="1" applyNumberFormat="1" applyFont="1" applyFill="1" applyBorder="1" applyAlignment="1">
      <alignment horizontal="right" vertical="center"/>
    </xf>
    <xf numFmtId="177" fontId="5" fillId="2" borderId="41" xfId="1" applyNumberFormat="1" applyFont="1" applyFill="1" applyBorder="1" applyAlignment="1">
      <alignment vertical="center"/>
    </xf>
    <xf numFmtId="176" fontId="5" fillId="2" borderId="37" xfId="2" applyNumberFormat="1" applyFont="1" applyFill="1" applyBorder="1" applyAlignment="1">
      <alignment vertical="center"/>
    </xf>
    <xf numFmtId="176" fontId="5" fillId="2" borderId="36" xfId="2" applyNumberFormat="1" applyFont="1" applyFill="1" applyBorder="1" applyAlignment="1">
      <alignment vertical="center"/>
    </xf>
    <xf numFmtId="176" fontId="5" fillId="2" borderId="42" xfId="2" applyNumberFormat="1" applyFont="1" applyFill="1" applyBorder="1" applyAlignment="1">
      <alignment vertical="center"/>
    </xf>
    <xf numFmtId="38" fontId="5" fillId="2" borderId="44" xfId="1" applyFont="1" applyFill="1" applyBorder="1" applyAlignment="1">
      <alignment vertical="center"/>
    </xf>
    <xf numFmtId="38" fontId="5" fillId="2" borderId="45" xfId="1" applyFont="1" applyFill="1" applyBorder="1" applyAlignment="1">
      <alignment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47" xfId="0" applyNumberForma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left" vertical="center" wrapText="1" indent="1"/>
    </xf>
    <xf numFmtId="0" fontId="0" fillId="2" borderId="31" xfId="0" applyFont="1" applyFill="1" applyBorder="1" applyAlignment="1">
      <alignment horizontal="left" vertical="center" wrapText="1" inden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</xdr:colOff>
      <xdr:row>1</xdr:row>
      <xdr:rowOff>23816</xdr:rowOff>
    </xdr:from>
    <xdr:to>
      <xdr:col>8</xdr:col>
      <xdr:colOff>803771</xdr:colOff>
      <xdr:row>2</xdr:row>
      <xdr:rowOff>222253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0AF2971-8654-44A7-AFAF-962796849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7938" y="166691"/>
          <a:ext cx="1597521" cy="484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793751</xdr:colOff>
      <xdr:row>3</xdr:row>
      <xdr:rowOff>35699</xdr:rowOff>
    </xdr:from>
    <xdr:to>
      <xdr:col>9</xdr:col>
      <xdr:colOff>2220</xdr:colOff>
      <xdr:row>3</xdr:row>
      <xdr:rowOff>200299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A5B0AB3-FABA-86E0-E2AE-2C0C1846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3189" y="694512"/>
          <a:ext cx="1637344" cy="164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</xdr:colOff>
      <xdr:row>1</xdr:row>
      <xdr:rowOff>23816</xdr:rowOff>
    </xdr:from>
    <xdr:to>
      <xdr:col>8</xdr:col>
      <xdr:colOff>803771</xdr:colOff>
      <xdr:row>2</xdr:row>
      <xdr:rowOff>222253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05374F1-7073-41EE-9BDB-794CF2E76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63516"/>
          <a:ext cx="1594346" cy="484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1</xdr:row>
      <xdr:rowOff>15880</xdr:rowOff>
    </xdr:from>
    <xdr:to>
      <xdr:col>9</xdr:col>
      <xdr:colOff>114342</xdr:colOff>
      <xdr:row>2</xdr:row>
      <xdr:rowOff>214317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D58027E-E7F4-43E6-B1E3-1D1185300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58755"/>
          <a:ext cx="1590717" cy="484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4"/>
  <sheetViews>
    <sheetView topLeftCell="A21" zoomScale="80" zoomScaleNormal="80" workbookViewId="0">
      <selection activeCell="I14" sqref="I14"/>
    </sheetView>
  </sheetViews>
  <sheetFormatPr defaultRowHeight="18"/>
  <cols>
    <col min="1" max="1" width="2.33203125" customWidth="1"/>
    <col min="2" max="2" width="2.83203125" customWidth="1"/>
    <col min="3" max="3" width="20.58203125" customWidth="1"/>
    <col min="4" max="9" width="10.58203125" customWidth="1"/>
    <col min="10" max="10" width="9.58203125" customWidth="1"/>
  </cols>
  <sheetData>
    <row r="1" spans="2:9" ht="11" customHeight="1"/>
    <row r="2" spans="2:9" ht="22.5">
      <c r="B2" s="6" t="s">
        <v>68</v>
      </c>
    </row>
    <row r="3" spans="2:9" ht="20">
      <c r="B3" s="64" t="s">
        <v>69</v>
      </c>
    </row>
    <row r="4" spans="2:9">
      <c r="I4" s="5"/>
    </row>
    <row r="5" spans="2:9">
      <c r="B5" s="59"/>
      <c r="C5" s="59"/>
      <c r="D5" s="59"/>
      <c r="E5" s="12"/>
      <c r="I5" s="60" t="s">
        <v>15</v>
      </c>
    </row>
    <row r="6" spans="2:9">
      <c r="B6" s="59"/>
      <c r="C6" s="59"/>
      <c r="D6" s="59"/>
      <c r="E6" s="12"/>
      <c r="I6" s="1"/>
    </row>
    <row r="7" spans="2:9">
      <c r="I7" s="1" t="s">
        <v>78</v>
      </c>
    </row>
    <row r="8" spans="2:9" ht="20">
      <c r="B8" s="64" t="s">
        <v>48</v>
      </c>
      <c r="I8" s="1" t="s">
        <v>19</v>
      </c>
    </row>
    <row r="9" spans="2:9" ht="18.5" thickBot="1">
      <c r="B9" s="2"/>
      <c r="C9" s="7"/>
      <c r="D9" s="121" t="s">
        <v>13</v>
      </c>
      <c r="E9" s="122"/>
      <c r="F9" s="122"/>
      <c r="G9" s="122"/>
      <c r="H9" s="122"/>
      <c r="I9" s="13" t="s">
        <v>14</v>
      </c>
    </row>
    <row r="10" spans="2:9" ht="18.5" thickTop="1">
      <c r="B10" s="3"/>
      <c r="C10" s="8"/>
      <c r="D10" s="76" t="s">
        <v>71</v>
      </c>
      <c r="E10" s="77" t="s">
        <v>73</v>
      </c>
      <c r="F10" s="67" t="s">
        <v>75</v>
      </c>
      <c r="G10" s="68" t="s">
        <v>77</v>
      </c>
      <c r="H10" s="69" t="s">
        <v>81</v>
      </c>
      <c r="I10" s="76" t="s">
        <v>71</v>
      </c>
    </row>
    <row r="11" spans="2:9">
      <c r="B11" s="34" t="s">
        <v>0</v>
      </c>
      <c r="C11" s="35"/>
      <c r="D11" s="73">
        <v>19406</v>
      </c>
      <c r="E11" s="78">
        <f>40405-D11</f>
        <v>20999</v>
      </c>
      <c r="F11" s="24">
        <f>59934-D11-E11</f>
        <v>19529</v>
      </c>
      <c r="G11" s="25">
        <f>H11-F11-E11-D11</f>
        <v>20258</v>
      </c>
      <c r="H11" s="70">
        <v>80192</v>
      </c>
      <c r="I11" s="73">
        <v>17602</v>
      </c>
    </row>
    <row r="12" spans="2:9">
      <c r="B12" s="42" t="s">
        <v>1</v>
      </c>
      <c r="C12" s="43"/>
      <c r="D12" s="74">
        <f>(D11/20767)-1</f>
        <v>-6.5536668753310545E-2</v>
      </c>
      <c r="E12" s="79">
        <f>(E11/21258)-1</f>
        <v>-1.2183648508796718E-2</v>
      </c>
      <c r="F12" s="18">
        <f>(F11/20076)-1</f>
        <v>-2.7246463438932111E-2</v>
      </c>
      <c r="G12" s="19">
        <f>(G11/23079)-1</f>
        <v>-0.12223233242341525</v>
      </c>
      <c r="H12" s="71">
        <v>-8.5999999999999993E-2</v>
      </c>
      <c r="I12" s="74">
        <v>-9.2999999999999999E-2</v>
      </c>
    </row>
    <row r="13" spans="2:9">
      <c r="B13" s="37"/>
      <c r="C13" s="38" t="s">
        <v>2</v>
      </c>
      <c r="D13" s="75">
        <v>10734</v>
      </c>
      <c r="E13" s="80">
        <f>22448-D13</f>
        <v>11714</v>
      </c>
      <c r="F13" s="16">
        <f>34062-D13-E13</f>
        <v>11614</v>
      </c>
      <c r="G13" s="17">
        <f>H13-F13-E13-D13</f>
        <v>11831</v>
      </c>
      <c r="H13" s="72">
        <v>45893</v>
      </c>
      <c r="I13" s="75">
        <v>10565</v>
      </c>
    </row>
    <row r="14" spans="2:9">
      <c r="B14" s="37"/>
      <c r="C14" s="46" t="s">
        <v>6</v>
      </c>
      <c r="D14" s="74">
        <f>(D13/11013)-1</f>
        <v>-2.5333696540452144E-2</v>
      </c>
      <c r="E14" s="79">
        <f>(E13/11603)-1</f>
        <v>9.5664914246316179E-3</v>
      </c>
      <c r="F14" s="18">
        <f>(F13/12082)-1</f>
        <v>-3.8735308723721218E-2</v>
      </c>
      <c r="G14" s="19">
        <f>(G13/12388)-1</f>
        <v>-4.4962867290926689E-2</v>
      </c>
      <c r="H14" s="71">
        <v>-2.7E-2</v>
      </c>
      <c r="I14" s="74">
        <v>-1.6E-2</v>
      </c>
    </row>
    <row r="15" spans="2:9">
      <c r="B15" s="37"/>
      <c r="C15" s="38" t="s">
        <v>3</v>
      </c>
      <c r="D15" s="75">
        <f>D11-D13</f>
        <v>8672</v>
      </c>
      <c r="E15" s="80">
        <f>17957-D15</f>
        <v>9285</v>
      </c>
      <c r="F15" s="16">
        <f>25871-D15-E15</f>
        <v>7914</v>
      </c>
      <c r="G15" s="17">
        <f>H15-F15-E15-D15</f>
        <v>8428</v>
      </c>
      <c r="H15" s="72">
        <v>34299</v>
      </c>
      <c r="I15" s="75">
        <v>7037</v>
      </c>
    </row>
    <row r="16" spans="2:9">
      <c r="B16" s="37"/>
      <c r="C16" s="46" t="s">
        <v>4</v>
      </c>
      <c r="D16" s="74">
        <f>(D15/9754)-1</f>
        <v>-0.11092884970268613</v>
      </c>
      <c r="E16" s="79">
        <f>(E15/9654)-1</f>
        <v>-3.8222498446239928E-2</v>
      </c>
      <c r="F16" s="18">
        <f>(F15/7994)-1</f>
        <v>-1.0007505629221924E-2</v>
      </c>
      <c r="G16" s="19">
        <f>(G15/10691)-1</f>
        <v>-0.21167337012440368</v>
      </c>
      <c r="H16" s="71">
        <v>-0.155</v>
      </c>
      <c r="I16" s="74">
        <v>-0.188</v>
      </c>
    </row>
    <row r="17" spans="2:9">
      <c r="B17" s="37"/>
      <c r="C17" s="47" t="s">
        <v>20</v>
      </c>
      <c r="D17" s="75">
        <v>2619</v>
      </c>
      <c r="E17" s="80">
        <f>5091-D17</f>
        <v>2472</v>
      </c>
      <c r="F17" s="16">
        <f>7257-D17-E17</f>
        <v>2166</v>
      </c>
      <c r="G17" s="17">
        <f>H17-F17-E17-D17</f>
        <v>2168</v>
      </c>
      <c r="H17" s="72">
        <v>9425</v>
      </c>
      <c r="I17" s="75">
        <v>1666</v>
      </c>
    </row>
    <row r="18" spans="2:9">
      <c r="B18" s="37"/>
      <c r="C18" s="48" t="s">
        <v>24</v>
      </c>
      <c r="D18" s="74">
        <f>(D17/2642)-1</f>
        <v>-8.705526116578377E-3</v>
      </c>
      <c r="E18" s="79">
        <f>(E17/2859)-1</f>
        <v>-0.13536201469045117</v>
      </c>
      <c r="F18" s="18">
        <f>(F17/2141)-1</f>
        <v>1.1676786548341811E-2</v>
      </c>
      <c r="G18" s="19">
        <f>(G17/2722)-1</f>
        <v>-0.20352681851579724</v>
      </c>
      <c r="H18" s="71">
        <v>-0.129</v>
      </c>
      <c r="I18" s="74">
        <v>-0.36399999999999999</v>
      </c>
    </row>
    <row r="19" spans="2:9">
      <c r="B19" s="37"/>
      <c r="C19" s="47" t="s">
        <v>21</v>
      </c>
      <c r="D19" s="75">
        <v>2301</v>
      </c>
      <c r="E19" s="80">
        <f>4609-D19</f>
        <v>2308</v>
      </c>
      <c r="F19" s="16">
        <f>6817-D19-E19</f>
        <v>2208</v>
      </c>
      <c r="G19" s="17">
        <f>H19-F19-E19-D19</f>
        <v>2738</v>
      </c>
      <c r="H19" s="72">
        <v>9555</v>
      </c>
      <c r="I19" s="75">
        <v>2474</v>
      </c>
    </row>
    <row r="20" spans="2:9">
      <c r="B20" s="37"/>
      <c r="C20" s="48" t="s">
        <v>25</v>
      </c>
      <c r="D20" s="74">
        <f>(D19/2683)-1</f>
        <v>-0.1423779351472233</v>
      </c>
      <c r="E20" s="79">
        <f>(E19/2465)-1</f>
        <v>-6.3691683569979674E-2</v>
      </c>
      <c r="F20" s="18">
        <f>(F19/2204)-1</f>
        <v>1.814882032667775E-3</v>
      </c>
      <c r="G20" s="19">
        <f>(G19/2828)-1</f>
        <v>-3.1824611032531869E-2</v>
      </c>
      <c r="H20" s="71">
        <v>-9.1999999999999998E-2</v>
      </c>
      <c r="I20" s="74">
        <v>7.4999999999999997E-2</v>
      </c>
    </row>
    <row r="21" spans="2:9">
      <c r="B21" s="37"/>
      <c r="C21" s="47" t="s">
        <v>22</v>
      </c>
      <c r="D21" s="75">
        <v>2562</v>
      </c>
      <c r="E21" s="80">
        <f>5923-D21</f>
        <v>3361</v>
      </c>
      <c r="F21" s="16">
        <f>8350-D21-E21</f>
        <v>2427</v>
      </c>
      <c r="G21" s="17">
        <f>H21-F21-E21-D21</f>
        <v>2502</v>
      </c>
      <c r="H21" s="72">
        <v>10852</v>
      </c>
      <c r="I21" s="75">
        <v>1970</v>
      </c>
    </row>
    <row r="22" spans="2:9">
      <c r="B22" s="37"/>
      <c r="C22" s="48" t="s">
        <v>26</v>
      </c>
      <c r="D22" s="74">
        <f>(D21/3341)-1</f>
        <v>-0.23316372343609693</v>
      </c>
      <c r="E22" s="79">
        <f>(E21/3146)-1</f>
        <v>6.8340750158931929E-2</v>
      </c>
      <c r="F22" s="18">
        <f>(F21/2563)-1</f>
        <v>-5.3062817011314878E-2</v>
      </c>
      <c r="G22" s="19">
        <f>(G21/3869)-1</f>
        <v>-0.35332127164642024</v>
      </c>
      <c r="H22" s="71">
        <v>-0.246</v>
      </c>
      <c r="I22" s="74">
        <v>-0.23100000000000001</v>
      </c>
    </row>
    <row r="23" spans="2:9">
      <c r="B23" s="37"/>
      <c r="C23" s="47" t="s">
        <v>23</v>
      </c>
      <c r="D23" s="75">
        <v>1188</v>
      </c>
      <c r="E23" s="80">
        <f>2332-D23</f>
        <v>1144</v>
      </c>
      <c r="F23" s="16">
        <f>3446-D23-E23</f>
        <v>1114</v>
      </c>
      <c r="G23" s="17">
        <f>H23-F23-E23-D23</f>
        <v>1020</v>
      </c>
      <c r="H23" s="72">
        <v>4466</v>
      </c>
      <c r="I23" s="75">
        <v>925</v>
      </c>
    </row>
    <row r="24" spans="2:9">
      <c r="B24" s="37"/>
      <c r="C24" s="47" t="s">
        <v>27</v>
      </c>
      <c r="D24" s="74">
        <f>(D23/1089)-1</f>
        <v>9.0909090909090828E-2</v>
      </c>
      <c r="E24" s="79">
        <f>(E23/1185)-1</f>
        <v>-3.4599156118143459E-2</v>
      </c>
      <c r="F24" s="18">
        <f>(F23/1087)-1</f>
        <v>2.483900643974235E-2</v>
      </c>
      <c r="G24" s="19">
        <f>(G23/1272)-1</f>
        <v>-0.19811320754716977</v>
      </c>
      <c r="H24" s="71">
        <v>-8.4000000000000005E-2</v>
      </c>
      <c r="I24" s="74">
        <v>-0.221</v>
      </c>
    </row>
    <row r="25" spans="2:9">
      <c r="B25" s="49" t="s">
        <v>5</v>
      </c>
      <c r="C25" s="38"/>
      <c r="D25" s="75">
        <v>778</v>
      </c>
      <c r="E25" s="80">
        <f>1812-D25</f>
        <v>1034</v>
      </c>
      <c r="F25" s="16">
        <f>2770-D25-E25</f>
        <v>958</v>
      </c>
      <c r="G25" s="17">
        <f>H25-F25-E25-D25</f>
        <v>485</v>
      </c>
      <c r="H25" s="72">
        <v>3255</v>
      </c>
      <c r="I25" s="75">
        <v>-555</v>
      </c>
    </row>
    <row r="26" spans="2:9">
      <c r="B26" s="50" t="s">
        <v>7</v>
      </c>
      <c r="C26" s="46"/>
      <c r="D26" s="74">
        <f>(D25/1148)-1</f>
        <v>-0.32229965156794427</v>
      </c>
      <c r="E26" s="79">
        <f>(E25/1289)-1</f>
        <v>-0.19782777346780445</v>
      </c>
      <c r="F26" s="18">
        <f>(F25/970)-1</f>
        <v>-1.2371134020618513E-2</v>
      </c>
      <c r="G26" s="19">
        <f>(G25/1308)-1</f>
        <v>-0.62920489296636084</v>
      </c>
      <c r="H26" s="71">
        <v>-0.35499999999999998</v>
      </c>
      <c r="I26" s="109" t="s">
        <v>82</v>
      </c>
    </row>
    <row r="27" spans="2:9">
      <c r="B27" s="49" t="s">
        <v>9</v>
      </c>
      <c r="C27" s="38"/>
      <c r="D27" s="75">
        <v>1207</v>
      </c>
      <c r="E27" s="80">
        <f>2419-D27</f>
        <v>1212</v>
      </c>
      <c r="F27" s="16">
        <f>3367-D27-E27</f>
        <v>948</v>
      </c>
      <c r="G27" s="17">
        <f>H27-F27-E27-D27</f>
        <v>834</v>
      </c>
      <c r="H27" s="72">
        <v>4201</v>
      </c>
      <c r="I27" s="75">
        <v>-227</v>
      </c>
    </row>
    <row r="28" spans="2:9">
      <c r="B28" s="50" t="s">
        <v>8</v>
      </c>
      <c r="C28" s="46"/>
      <c r="D28" s="74">
        <f>(D27/1567)-1</f>
        <v>-0.22973835354179961</v>
      </c>
      <c r="E28" s="79">
        <f>(E27/1295)-1</f>
        <v>-6.409266409266412E-2</v>
      </c>
      <c r="F28" s="18">
        <f>(F27/887)-1</f>
        <v>6.8771138669672993E-2</v>
      </c>
      <c r="G28" s="19">
        <f>(G27/1532)-1</f>
        <v>-0.45561357702349869</v>
      </c>
      <c r="H28" s="71">
        <v>-0.255</v>
      </c>
      <c r="I28" s="109" t="s">
        <v>82</v>
      </c>
    </row>
    <row r="29" spans="2:9">
      <c r="B29" s="49" t="s">
        <v>10</v>
      </c>
      <c r="C29" s="38"/>
      <c r="D29" s="75">
        <v>777</v>
      </c>
      <c r="E29" s="80">
        <f>1537-D29</f>
        <v>760</v>
      </c>
      <c r="F29" s="16">
        <f>2117-D29-E29</f>
        <v>580</v>
      </c>
      <c r="G29" s="17">
        <f>H29-F29-E29-D29</f>
        <v>665</v>
      </c>
      <c r="H29" s="72">
        <v>2782</v>
      </c>
      <c r="I29" s="75">
        <v>-283</v>
      </c>
    </row>
    <row r="30" spans="2:9" ht="18.5" thickBot="1">
      <c r="B30" s="102" t="s">
        <v>11</v>
      </c>
      <c r="C30" s="103"/>
      <c r="D30" s="92">
        <f>(D29/919)-1</f>
        <v>-0.15451577801958649</v>
      </c>
      <c r="E30" s="88">
        <f>(E29/850)-1</f>
        <v>-0.10588235294117643</v>
      </c>
      <c r="F30" s="20">
        <f>(F29/563)-1</f>
        <v>3.0195381882770933E-2</v>
      </c>
      <c r="G30" s="21">
        <f>(G29/1174)-1</f>
        <v>-0.43356047700170353</v>
      </c>
      <c r="H30" s="104">
        <v>-0.24199999999999999</v>
      </c>
      <c r="I30" s="110" t="s">
        <v>82</v>
      </c>
    </row>
    <row r="31" spans="2:9" ht="18.5" thickTop="1">
      <c r="B31" s="4" t="s">
        <v>16</v>
      </c>
    </row>
    <row r="32" spans="2:9">
      <c r="B32" s="4" t="s">
        <v>17</v>
      </c>
    </row>
    <row r="34" spans="2:9" ht="20">
      <c r="B34" s="64" t="s">
        <v>49</v>
      </c>
      <c r="I34" s="1" t="s">
        <v>31</v>
      </c>
    </row>
    <row r="35" spans="2:9" ht="18.5" thickBot="1">
      <c r="B35" s="2"/>
      <c r="C35" s="7"/>
      <c r="D35" s="121" t="s">
        <v>13</v>
      </c>
      <c r="E35" s="122"/>
      <c r="F35" s="122"/>
      <c r="G35" s="122"/>
      <c r="H35" s="122"/>
      <c r="I35" s="13" t="s">
        <v>14</v>
      </c>
    </row>
    <row r="36" spans="2:9" ht="18.5" thickTop="1">
      <c r="B36" s="3"/>
      <c r="C36" s="8"/>
      <c r="D36" s="76" t="s">
        <v>72</v>
      </c>
      <c r="E36" s="77" t="s">
        <v>74</v>
      </c>
      <c r="F36" s="67" t="s">
        <v>76</v>
      </c>
      <c r="G36" s="105"/>
      <c r="H36" s="69" t="s">
        <v>81</v>
      </c>
      <c r="I36" s="76" t="s">
        <v>72</v>
      </c>
    </row>
    <row r="37" spans="2:9">
      <c r="B37" s="31" t="s">
        <v>28</v>
      </c>
      <c r="C37" s="81"/>
      <c r="D37" s="61">
        <v>132.30000000000001</v>
      </c>
      <c r="E37" s="84">
        <v>134.9</v>
      </c>
      <c r="F37" s="26">
        <v>138.1</v>
      </c>
      <c r="G37" s="106"/>
      <c r="H37" s="87">
        <v>140.6</v>
      </c>
      <c r="I37" s="111">
        <v>148.6</v>
      </c>
    </row>
    <row r="38" spans="2:9">
      <c r="B38" s="32" t="s">
        <v>29</v>
      </c>
      <c r="C38" s="82"/>
      <c r="D38" s="62">
        <v>142.1</v>
      </c>
      <c r="E38" s="85">
        <v>145.80000000000001</v>
      </c>
      <c r="F38" s="27">
        <v>149.6</v>
      </c>
      <c r="G38" s="107"/>
      <c r="H38" s="28">
        <v>152</v>
      </c>
      <c r="I38" s="112">
        <v>161.30000000000001</v>
      </c>
    </row>
    <row r="39" spans="2:9" ht="18.5" thickBot="1">
      <c r="B39" s="33" t="s">
        <v>30</v>
      </c>
      <c r="C39" s="83"/>
      <c r="D39" s="63">
        <v>19.3</v>
      </c>
      <c r="E39" s="86">
        <v>19.5</v>
      </c>
      <c r="F39" s="29">
        <v>19.600000000000001</v>
      </c>
      <c r="G39" s="108"/>
      <c r="H39" s="30">
        <v>19.8</v>
      </c>
      <c r="I39" s="113">
        <v>20.6</v>
      </c>
    </row>
    <row r="40" spans="2:9" ht="18.5" thickTop="1"/>
    <row r="41" spans="2:9">
      <c r="B41" s="9"/>
      <c r="C41" s="10"/>
      <c r="D41" s="10"/>
      <c r="E41" s="10"/>
      <c r="F41" s="10"/>
      <c r="G41" s="10"/>
      <c r="H41" s="10"/>
      <c r="I41" s="10"/>
    </row>
    <row r="42" spans="2:9">
      <c r="B42" s="10"/>
      <c r="C42" s="10"/>
      <c r="D42" s="10"/>
      <c r="E42" s="10"/>
      <c r="F42" s="10"/>
      <c r="G42" s="10"/>
      <c r="H42" s="10"/>
      <c r="I42" s="10"/>
    </row>
    <row r="43" spans="2:9">
      <c r="C43" s="11"/>
    </row>
    <row r="44" spans="2:9">
      <c r="C44" s="11"/>
    </row>
  </sheetData>
  <mergeCells count="2">
    <mergeCell ref="D9:H9"/>
    <mergeCell ref="D35:H35"/>
  </mergeCells>
  <phoneticPr fontId="2"/>
  <printOptions horizontalCentered="1" verticalCentered="1"/>
  <pageMargins left="0.9055118110236221" right="0.70866141732283472" top="0.94488188976377963" bottom="0.9448818897637796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7408F-F851-486F-99EC-D5C885374CC0}">
  <sheetPr>
    <pageSetUpPr fitToPage="1"/>
  </sheetPr>
  <dimension ref="A1:I44"/>
  <sheetViews>
    <sheetView topLeftCell="A7" zoomScale="80" zoomScaleNormal="80" workbookViewId="0">
      <pane xSplit="3" ySplit="4" topLeftCell="D11" activePane="bottomRight" state="frozen"/>
      <selection activeCell="I14" sqref="I14"/>
      <selection pane="topRight" activeCell="I14" sqref="I14"/>
      <selection pane="bottomLeft" activeCell="I14" sqref="I14"/>
      <selection pane="bottomRight" activeCell="M19" sqref="M19"/>
    </sheetView>
  </sheetViews>
  <sheetFormatPr defaultRowHeight="18"/>
  <cols>
    <col min="1" max="1" width="2.33203125" customWidth="1"/>
    <col min="2" max="2" width="2.83203125" customWidth="1"/>
    <col min="3" max="3" width="44.4140625" bestFit="1" customWidth="1"/>
    <col min="4" max="9" width="10.58203125" customWidth="1"/>
    <col min="10" max="10" width="9.58203125" customWidth="1"/>
  </cols>
  <sheetData>
    <row r="1" spans="1:9" ht="11" customHeight="1"/>
    <row r="2" spans="1:9" ht="22.5">
      <c r="B2" s="6"/>
    </row>
    <row r="4" spans="1:9">
      <c r="I4" s="5"/>
    </row>
    <row r="5" spans="1:9">
      <c r="B5" s="59"/>
      <c r="C5" s="59"/>
      <c r="D5" s="59"/>
      <c r="I5" s="60"/>
    </row>
    <row r="6" spans="1:9">
      <c r="B6" s="59"/>
      <c r="C6" s="59"/>
      <c r="D6" s="59"/>
      <c r="I6" s="1"/>
    </row>
    <row r="7" spans="1:9">
      <c r="A7" s="12"/>
      <c r="B7" s="12"/>
      <c r="C7" s="12"/>
      <c r="D7" s="12"/>
      <c r="E7" s="12"/>
      <c r="I7" s="1" t="s">
        <v>78</v>
      </c>
    </row>
    <row r="8" spans="1:9" ht="20">
      <c r="A8" s="12"/>
      <c r="B8" s="65" t="s">
        <v>64</v>
      </c>
      <c r="C8" s="12"/>
      <c r="D8" s="12"/>
      <c r="E8" s="12"/>
      <c r="I8" s="1" t="s">
        <v>19</v>
      </c>
    </row>
    <row r="9" spans="1:9" ht="18.5" thickBot="1">
      <c r="B9" s="2"/>
      <c r="C9" s="7"/>
      <c r="D9" s="121" t="s">
        <v>13</v>
      </c>
      <c r="E9" s="122"/>
      <c r="F9" s="122"/>
      <c r="G9" s="122"/>
      <c r="H9" s="122"/>
      <c r="I9" s="13" t="s">
        <v>14</v>
      </c>
    </row>
    <row r="10" spans="1:9" ht="18.5" thickTop="1">
      <c r="B10" s="3"/>
      <c r="C10" s="8"/>
      <c r="D10" s="76" t="s">
        <v>71</v>
      </c>
      <c r="E10" s="77" t="s">
        <v>73</v>
      </c>
      <c r="F10" s="67" t="s">
        <v>75</v>
      </c>
      <c r="G10" s="68" t="s">
        <v>77</v>
      </c>
      <c r="H10" s="69" t="s">
        <v>81</v>
      </c>
      <c r="I10" s="76" t="s">
        <v>71</v>
      </c>
    </row>
    <row r="11" spans="1:9">
      <c r="B11" s="34" t="s">
        <v>32</v>
      </c>
      <c r="C11" s="35"/>
      <c r="D11" s="75">
        <v>19406</v>
      </c>
      <c r="E11" s="80">
        <f>40405-D11</f>
        <v>20999</v>
      </c>
      <c r="F11" s="16">
        <f>59934-E11-D11</f>
        <v>19529</v>
      </c>
      <c r="G11" s="17">
        <f>H11-F11-E11-D11</f>
        <v>20258</v>
      </c>
      <c r="H11" s="70">
        <v>80192</v>
      </c>
      <c r="I11" s="75">
        <v>17602</v>
      </c>
    </row>
    <row r="12" spans="1:9">
      <c r="B12" s="42" t="s">
        <v>33</v>
      </c>
      <c r="C12" s="43"/>
      <c r="D12" s="74">
        <f>(D11/20767)-1</f>
        <v>-6.5536668753310545E-2</v>
      </c>
      <c r="E12" s="79">
        <f>(E11/21258)-1</f>
        <v>-1.2183648508796718E-2</v>
      </c>
      <c r="F12" s="18">
        <f>(F11/22668)-1</f>
        <v>-0.13847714840303516</v>
      </c>
      <c r="G12" s="19">
        <f>(G11/23079)-1</f>
        <v>-0.12223233242341525</v>
      </c>
      <c r="H12" s="71">
        <v>-8.5999999999999993E-2</v>
      </c>
      <c r="I12" s="74">
        <v>-9.2999999999999999E-2</v>
      </c>
    </row>
    <row r="13" spans="1:9">
      <c r="B13" s="37"/>
      <c r="C13" s="38" t="s">
        <v>34</v>
      </c>
      <c r="D13" s="75">
        <v>16444</v>
      </c>
      <c r="E13" s="80">
        <f>33731-D13</f>
        <v>17287</v>
      </c>
      <c r="F13" s="16">
        <f>49715-D13-E13</f>
        <v>15984</v>
      </c>
      <c r="G13" s="17">
        <f>H13-F13-E13-D13</f>
        <v>15953</v>
      </c>
      <c r="H13" s="72">
        <v>65668</v>
      </c>
      <c r="I13" s="114">
        <v>14428</v>
      </c>
    </row>
    <row r="14" spans="1:9">
      <c r="B14" s="37"/>
      <c r="C14" s="66" t="s">
        <v>51</v>
      </c>
      <c r="D14" s="74">
        <f>(D13/17486)-1</f>
        <v>-5.9590529566510342E-2</v>
      </c>
      <c r="E14" s="79">
        <f>(E13/17836)-1</f>
        <v>-3.0780444045750199E-2</v>
      </c>
      <c r="F14" s="18">
        <f>(F13/18976)-1</f>
        <v>-0.15767284991568298</v>
      </c>
      <c r="G14" s="19">
        <f>(G13/18630)-1</f>
        <v>-0.14369296833064948</v>
      </c>
      <c r="H14" s="71">
        <v>-0.1</v>
      </c>
      <c r="I14" s="74">
        <v>-0.123</v>
      </c>
    </row>
    <row r="15" spans="1:9">
      <c r="B15" s="37"/>
      <c r="C15" s="38" t="s">
        <v>35</v>
      </c>
      <c r="D15" s="75">
        <v>2352</v>
      </c>
      <c r="E15" s="80">
        <f>4706-D15</f>
        <v>2354</v>
      </c>
      <c r="F15" s="16">
        <f>7286-D15-E15</f>
        <v>2580</v>
      </c>
      <c r="G15" s="17">
        <f>H15-F15-E15-D15</f>
        <v>2254</v>
      </c>
      <c r="H15" s="72">
        <v>9540</v>
      </c>
      <c r="I15" s="114">
        <v>2282</v>
      </c>
    </row>
    <row r="16" spans="1:9">
      <c r="B16" s="37"/>
      <c r="C16" s="39" t="s">
        <v>38</v>
      </c>
      <c r="D16" s="74">
        <f>(D15/2625)-1</f>
        <v>-0.10399999999999998</v>
      </c>
      <c r="E16" s="79">
        <f>(E15/2575)-1</f>
        <v>-8.5825242718446604E-2</v>
      </c>
      <c r="F16" s="18">
        <f>(F15/2825)-1</f>
        <v>-8.6725663716814116E-2</v>
      </c>
      <c r="G16" s="19">
        <f>(G15/2425)-1</f>
        <v>-7.0515463917525723E-2</v>
      </c>
      <c r="H16" s="71">
        <v>-8.6999999999999994E-2</v>
      </c>
      <c r="I16" s="74">
        <v>-2.9000000000000001E-2</v>
      </c>
    </row>
    <row r="17" spans="2:9">
      <c r="B17" s="37"/>
      <c r="C17" s="38" t="s">
        <v>23</v>
      </c>
      <c r="D17" s="75">
        <f>+D11-D13-D15</f>
        <v>610</v>
      </c>
      <c r="E17" s="80">
        <f>1967-D17</f>
        <v>1357</v>
      </c>
      <c r="F17" s="16">
        <f>2932-D17-E17</f>
        <v>965</v>
      </c>
      <c r="G17" s="17">
        <f>H17-F17-E17-D17</f>
        <v>2052</v>
      </c>
      <c r="H17" s="72">
        <v>4984</v>
      </c>
      <c r="I17" s="114">
        <v>891</v>
      </c>
    </row>
    <row r="18" spans="2:9">
      <c r="B18" s="40"/>
      <c r="C18" s="41" t="s">
        <v>50</v>
      </c>
      <c r="D18" s="90">
        <f>(D17/656)-1</f>
        <v>-7.0121951219512146E-2</v>
      </c>
      <c r="E18" s="88">
        <f>(E17/847)-1</f>
        <v>0.60212514757969293</v>
      </c>
      <c r="F18" s="20">
        <f>(F17/867)-1</f>
        <v>0.11303344867358711</v>
      </c>
      <c r="G18" s="21">
        <f>(G17/2023)-1</f>
        <v>1.4335145823035189E-2</v>
      </c>
      <c r="H18" s="93">
        <v>0.13400000000000001</v>
      </c>
      <c r="I18" s="90">
        <v>0.46</v>
      </c>
    </row>
    <row r="19" spans="2:9">
      <c r="B19" s="42" t="s">
        <v>36</v>
      </c>
      <c r="C19" s="44"/>
      <c r="D19" s="91">
        <v>778</v>
      </c>
      <c r="E19" s="89">
        <f>1812-D19</f>
        <v>1034</v>
      </c>
      <c r="F19" s="22">
        <f>2770-E19-D19</f>
        <v>958</v>
      </c>
      <c r="G19" s="23">
        <f>H19-F19-E19-D19</f>
        <v>485</v>
      </c>
      <c r="H19" s="94">
        <v>3255</v>
      </c>
      <c r="I19" s="91">
        <v>-555</v>
      </c>
    </row>
    <row r="20" spans="2:9">
      <c r="B20" s="42" t="s">
        <v>37</v>
      </c>
      <c r="C20" s="43"/>
      <c r="D20" s="74">
        <f>(D19/1148)-1</f>
        <v>-0.32229965156794427</v>
      </c>
      <c r="E20" s="79">
        <f>(E19/1289)-1</f>
        <v>-0.19782777346780445</v>
      </c>
      <c r="F20" s="18">
        <f>(F19/1301)-1</f>
        <v>-0.26364335126825522</v>
      </c>
      <c r="G20" s="19">
        <f>(G19/1308)-1</f>
        <v>-0.62920489296636084</v>
      </c>
      <c r="H20" s="71">
        <v>-0.35499999999999998</v>
      </c>
      <c r="I20" s="109" t="s">
        <v>83</v>
      </c>
    </row>
    <row r="21" spans="2:9">
      <c r="B21" s="37"/>
      <c r="C21" s="38" t="s">
        <v>34</v>
      </c>
      <c r="D21" s="75">
        <v>649</v>
      </c>
      <c r="E21" s="80">
        <f>1451-D21</f>
        <v>802</v>
      </c>
      <c r="F21" s="16">
        <f>2114-D21-E21</f>
        <v>663</v>
      </c>
      <c r="G21" s="17">
        <f>H21-F21-E21-D21</f>
        <v>239</v>
      </c>
      <c r="H21" s="72">
        <v>2353</v>
      </c>
      <c r="I21" s="114">
        <v>-687</v>
      </c>
    </row>
    <row r="22" spans="2:9">
      <c r="B22" s="37"/>
      <c r="C22" s="66" t="s">
        <v>51</v>
      </c>
      <c r="D22" s="74">
        <f>(D21/792)-1</f>
        <v>-0.18055555555555558</v>
      </c>
      <c r="E22" s="79">
        <f>(E21/974)-1</f>
        <v>-0.17659137577002049</v>
      </c>
      <c r="F22" s="18">
        <f>(F21/920)-1</f>
        <v>-0.27934782608695652</v>
      </c>
      <c r="G22" s="19">
        <f>(G21/1172)-1</f>
        <v>-0.7960750853242321</v>
      </c>
      <c r="H22" s="71">
        <v>-0.39</v>
      </c>
      <c r="I22" s="109" t="s">
        <v>83</v>
      </c>
    </row>
    <row r="23" spans="2:9">
      <c r="B23" s="37"/>
      <c r="C23" s="38" t="s">
        <v>35</v>
      </c>
      <c r="D23" s="75">
        <v>177</v>
      </c>
      <c r="E23" s="80">
        <f>366-D23</f>
        <v>189</v>
      </c>
      <c r="F23" s="16">
        <f>610-D23-E23</f>
        <v>244</v>
      </c>
      <c r="G23" s="17">
        <f>H23-F23-E23-D23</f>
        <v>143</v>
      </c>
      <c r="H23" s="72">
        <v>753</v>
      </c>
      <c r="I23" s="114">
        <v>147</v>
      </c>
    </row>
    <row r="24" spans="2:9">
      <c r="B24" s="37"/>
      <c r="C24" s="39" t="s">
        <v>38</v>
      </c>
      <c r="D24" s="74">
        <f>(D23/362)-1</f>
        <v>-0.51104972375690605</v>
      </c>
      <c r="E24" s="79">
        <f>(E23/299)-1</f>
        <v>-0.36789297658862874</v>
      </c>
      <c r="F24" s="18">
        <f>(F23/355)-1</f>
        <v>-0.3126760563380282</v>
      </c>
      <c r="G24" s="19">
        <f>(G23/151)-1</f>
        <v>-5.2980132450331174E-2</v>
      </c>
      <c r="H24" s="71">
        <v>-0.35399999999999998</v>
      </c>
      <c r="I24" s="74">
        <v>-0.17</v>
      </c>
    </row>
    <row r="25" spans="2:9">
      <c r="B25" s="37"/>
      <c r="C25" s="38" t="s">
        <v>23</v>
      </c>
      <c r="D25" s="75">
        <v>-27</v>
      </c>
      <c r="E25" s="80">
        <f>36-D25</f>
        <v>63</v>
      </c>
      <c r="F25" s="16">
        <f>91-D25-E25</f>
        <v>55</v>
      </c>
      <c r="G25" s="17">
        <f>H25-F25-E25-D25</f>
        <v>155</v>
      </c>
      <c r="H25" s="72">
        <v>246</v>
      </c>
      <c r="I25" s="114">
        <v>1</v>
      </c>
    </row>
    <row r="26" spans="2:9" ht="18.5" thickBot="1">
      <c r="B26" s="40"/>
      <c r="C26" s="41" t="s">
        <v>50</v>
      </c>
      <c r="D26" s="110" t="s">
        <v>82</v>
      </c>
      <c r="E26" s="88">
        <f>(E25/18)-1</f>
        <v>2.5</v>
      </c>
      <c r="F26" s="20">
        <f>(F25/29)-1</f>
        <v>0.89655172413793105</v>
      </c>
      <c r="G26" s="21">
        <f>(G25/98)-1</f>
        <v>0.58163265306122458</v>
      </c>
      <c r="H26" s="93">
        <v>0.72099999999999997</v>
      </c>
      <c r="I26" s="110" t="s">
        <v>83</v>
      </c>
    </row>
    <row r="27" spans="2:9" ht="18.5" thickTop="1"/>
    <row r="28" spans="2:9">
      <c r="I28" s="1" t="s">
        <v>18</v>
      </c>
    </row>
    <row r="29" spans="2:9" ht="20">
      <c r="B29" s="64" t="s">
        <v>53</v>
      </c>
      <c r="I29" s="1" t="s">
        <v>19</v>
      </c>
    </row>
    <row r="30" spans="2:9" ht="18.5" thickBot="1">
      <c r="B30" s="2"/>
      <c r="C30" s="7"/>
      <c r="D30" s="121" t="s">
        <v>13</v>
      </c>
      <c r="E30" s="122"/>
      <c r="F30" s="122"/>
      <c r="G30" s="122"/>
      <c r="H30" s="122"/>
      <c r="I30" s="13" t="s">
        <v>14</v>
      </c>
    </row>
    <row r="31" spans="2:9" ht="18.5" thickTop="1">
      <c r="B31" s="3"/>
      <c r="C31" s="8"/>
      <c r="D31" s="76" t="s">
        <v>71</v>
      </c>
      <c r="E31" s="77" t="s">
        <v>73</v>
      </c>
      <c r="F31" s="67" t="s">
        <v>75</v>
      </c>
      <c r="G31" s="68" t="s">
        <v>77</v>
      </c>
      <c r="H31" s="69" t="s">
        <v>81</v>
      </c>
      <c r="I31" s="76" t="s">
        <v>71</v>
      </c>
    </row>
    <row r="32" spans="2:9">
      <c r="B32" s="45" t="s">
        <v>39</v>
      </c>
      <c r="C32" s="35"/>
      <c r="D32" s="75">
        <v>6895</v>
      </c>
      <c r="E32" s="80">
        <f>14534-D32</f>
        <v>7639</v>
      </c>
      <c r="F32" s="16">
        <f>21229-D32-E32</f>
        <v>6695</v>
      </c>
      <c r="G32" s="17">
        <f>H32-F32-E32-D32</f>
        <v>6375</v>
      </c>
      <c r="H32" s="70">
        <v>27604</v>
      </c>
      <c r="I32" s="115">
        <v>5361</v>
      </c>
    </row>
    <row r="33" spans="2:9">
      <c r="B33" s="36" t="s">
        <v>43</v>
      </c>
      <c r="C33" s="95"/>
      <c r="D33" s="74">
        <f>(D32/7866)-1</f>
        <v>-0.12344266463259601</v>
      </c>
      <c r="E33" s="79">
        <f>(E32/7776)-1</f>
        <v>-1.7618312757201604E-2</v>
      </c>
      <c r="F33" s="18">
        <f>(F32/8840)-1</f>
        <v>-0.24264705882352944</v>
      </c>
      <c r="G33" s="19">
        <f>(G32/8168)-1</f>
        <v>-0.21951518119490698</v>
      </c>
      <c r="H33" s="71">
        <v>-0.155</v>
      </c>
      <c r="I33" s="116">
        <v>-0.223</v>
      </c>
    </row>
    <row r="34" spans="2:9">
      <c r="B34" s="37"/>
      <c r="C34" s="38" t="s">
        <v>41</v>
      </c>
      <c r="D34" s="75">
        <v>1187</v>
      </c>
      <c r="E34" s="80">
        <f>2370-D34</f>
        <v>1183</v>
      </c>
      <c r="F34" s="16">
        <f>3830-D34-E34</f>
        <v>1460</v>
      </c>
      <c r="G34" s="17">
        <f>H34-F34-E34-D34</f>
        <v>1034</v>
      </c>
      <c r="H34" s="72">
        <v>4864</v>
      </c>
      <c r="I34" s="115">
        <v>1039</v>
      </c>
    </row>
    <row r="35" spans="2:9">
      <c r="B35" s="37"/>
      <c r="C35" s="39" t="s">
        <v>6</v>
      </c>
      <c r="D35" s="74">
        <f>(D34/1075)-1</f>
        <v>0.10418604651162799</v>
      </c>
      <c r="E35" s="79">
        <f>(E34/1054)-1</f>
        <v>0.12239089184060714</v>
      </c>
      <c r="F35" s="18">
        <f>(F34/1547)-1</f>
        <v>-5.6237879767291554E-2</v>
      </c>
      <c r="G35" s="19">
        <f>(G34/1191)-1</f>
        <v>-0.13182199832073882</v>
      </c>
      <c r="H35" s="71">
        <v>-1E-3</v>
      </c>
      <c r="I35" s="116">
        <v>-0.124</v>
      </c>
    </row>
    <row r="36" spans="2:9">
      <c r="B36" s="37"/>
      <c r="C36" s="38" t="s">
        <v>42</v>
      </c>
      <c r="D36" s="75">
        <f>D32-D34</f>
        <v>5708</v>
      </c>
      <c r="E36" s="80">
        <f>12164-D36</f>
        <v>6456</v>
      </c>
      <c r="F36" s="16">
        <f>17399-D36-E36</f>
        <v>5235</v>
      </c>
      <c r="G36" s="17">
        <f>H36-F36-E36-D36</f>
        <v>5340</v>
      </c>
      <c r="H36" s="72">
        <v>22739</v>
      </c>
      <c r="I36" s="115">
        <v>4321</v>
      </c>
    </row>
    <row r="37" spans="2:9">
      <c r="B37" s="40"/>
      <c r="C37" s="41" t="s">
        <v>4</v>
      </c>
      <c r="D37" s="90">
        <f>(D36/6791)-1</f>
        <v>-0.15947577676336322</v>
      </c>
      <c r="E37" s="88">
        <f>(E36/6722)-1</f>
        <v>-3.9571556084498694E-2</v>
      </c>
      <c r="F37" s="20">
        <f>(F36/7293)-1</f>
        <v>-0.28218839983545863</v>
      </c>
      <c r="G37" s="21">
        <f>(G36/6977)-1</f>
        <v>-0.23462806363766664</v>
      </c>
      <c r="H37" s="93">
        <v>-0.18099999999999999</v>
      </c>
      <c r="I37" s="117">
        <v>-0.24299999999999999</v>
      </c>
    </row>
    <row r="38" spans="2:9">
      <c r="B38" s="45" t="s">
        <v>40</v>
      </c>
      <c r="C38" s="35"/>
      <c r="D38" s="75">
        <v>3592</v>
      </c>
      <c r="E38" s="80">
        <f>6945-D38</f>
        <v>3353</v>
      </c>
      <c r="F38" s="16">
        <f>10149-D38-E38</f>
        <v>3204</v>
      </c>
      <c r="G38" s="17">
        <f>H38-F38-E38-D38</f>
        <v>3557</v>
      </c>
      <c r="H38" s="72">
        <v>13706</v>
      </c>
      <c r="I38" s="115">
        <v>3255</v>
      </c>
    </row>
    <row r="39" spans="2:9">
      <c r="B39" s="36" t="s">
        <v>44</v>
      </c>
      <c r="C39" s="95"/>
      <c r="D39" s="74">
        <f>(D38/3672)-1</f>
        <v>-2.1786492374727628E-2</v>
      </c>
      <c r="E39" s="79">
        <f>(E38/3669)-1</f>
        <v>-8.612701008449164E-2</v>
      </c>
      <c r="F39" s="18">
        <f>(F38/3888)-1</f>
        <v>-0.17592592592592593</v>
      </c>
      <c r="G39" s="19">
        <f>(G38/4277)-1</f>
        <v>-0.16834229600187045</v>
      </c>
      <c r="H39" s="71">
        <v>-0.11600000000000001</v>
      </c>
      <c r="I39" s="116">
        <v>-9.4E-2</v>
      </c>
    </row>
    <row r="40" spans="2:9">
      <c r="B40" s="37"/>
      <c r="C40" s="38" t="s">
        <v>41</v>
      </c>
      <c r="D40" s="75">
        <v>798</v>
      </c>
      <c r="E40" s="80">
        <f>1445-D40</f>
        <v>647</v>
      </c>
      <c r="F40" s="16">
        <f>2117-D40-E40</f>
        <v>672</v>
      </c>
      <c r="G40" s="17">
        <f>H40-F40-E40-D40</f>
        <v>639</v>
      </c>
      <c r="H40" s="72">
        <v>2756</v>
      </c>
      <c r="I40" s="115">
        <v>726</v>
      </c>
    </row>
    <row r="41" spans="2:9">
      <c r="B41" s="37"/>
      <c r="C41" s="39" t="s">
        <v>6</v>
      </c>
      <c r="D41" s="74">
        <f>(D40/860)-1</f>
        <v>-7.2093023255813904E-2</v>
      </c>
      <c r="E41" s="79">
        <f>(E40/891)-1</f>
        <v>-0.27384960718294049</v>
      </c>
      <c r="F41" s="18">
        <f>(F40/812)-1</f>
        <v>-0.17241379310344829</v>
      </c>
      <c r="G41" s="19">
        <f>(G40/720)-1</f>
        <v>-0.11250000000000004</v>
      </c>
      <c r="H41" s="71">
        <v>-0.161</v>
      </c>
      <c r="I41" s="116">
        <v>-0.09</v>
      </c>
    </row>
    <row r="42" spans="2:9">
      <c r="B42" s="37"/>
      <c r="C42" s="38" t="s">
        <v>42</v>
      </c>
      <c r="D42" s="75">
        <v>2794</v>
      </c>
      <c r="E42" s="80">
        <f>5499-D42</f>
        <v>2705</v>
      </c>
      <c r="F42" s="16">
        <f>8032-D42-E42</f>
        <v>2533</v>
      </c>
      <c r="G42" s="17">
        <f>H42-F42-E42-D42</f>
        <v>2918</v>
      </c>
      <c r="H42" s="72">
        <v>10950</v>
      </c>
      <c r="I42" s="115">
        <v>2528</v>
      </c>
    </row>
    <row r="43" spans="2:9" ht="18.5" thickBot="1">
      <c r="B43" s="40"/>
      <c r="C43" s="41" t="s">
        <v>4</v>
      </c>
      <c r="D43" s="92">
        <f>(D42/2812)-1</f>
        <v>-6.4011379800853474E-3</v>
      </c>
      <c r="E43" s="88">
        <f>(E42/2777)-1</f>
        <v>-2.5927259632697153E-2</v>
      </c>
      <c r="F43" s="20">
        <f>(F42/3076)-1</f>
        <v>-0.17652795838751623</v>
      </c>
      <c r="G43" s="21">
        <f>(G42/3557)-1</f>
        <v>-0.17964576890638173</v>
      </c>
      <c r="H43" s="93">
        <v>-0.104</v>
      </c>
      <c r="I43" s="118">
        <v>-9.5000000000000001E-2</v>
      </c>
    </row>
    <row r="44" spans="2:9" ht="18.5" thickTop="1"/>
  </sheetData>
  <mergeCells count="2">
    <mergeCell ref="D9:H9"/>
    <mergeCell ref="D30:H30"/>
  </mergeCells>
  <phoneticPr fontId="2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CCE19-0F90-48A9-A4F9-6609EAE9F804}">
  <sheetPr>
    <pageSetUpPr fitToPage="1"/>
  </sheetPr>
  <dimension ref="B1:I26"/>
  <sheetViews>
    <sheetView tabSelected="1" topLeftCell="A7" zoomScale="80" zoomScaleNormal="80" workbookViewId="0">
      <pane xSplit="3" ySplit="4" topLeftCell="D11" activePane="bottomRight" state="frozen"/>
      <selection activeCell="I14" sqref="I14"/>
      <selection pane="topRight" activeCell="I14" sqref="I14"/>
      <selection pane="bottomLeft" activeCell="I14" sqref="I14"/>
      <selection pane="bottomRight" activeCell="H11" sqref="H11"/>
    </sheetView>
  </sheetViews>
  <sheetFormatPr defaultRowHeight="18"/>
  <cols>
    <col min="1" max="1" width="2.33203125" customWidth="1"/>
    <col min="2" max="2" width="2.83203125" customWidth="1"/>
    <col min="3" max="3" width="37.33203125" customWidth="1"/>
    <col min="4" max="9" width="11.58203125" customWidth="1"/>
  </cols>
  <sheetData>
    <row r="1" spans="2:9" ht="8.5" customHeight="1"/>
    <row r="2" spans="2:9" ht="22.5">
      <c r="B2" s="6"/>
    </row>
    <row r="4" spans="2:9">
      <c r="I4" s="5"/>
    </row>
    <row r="5" spans="2:9">
      <c r="B5" s="59"/>
      <c r="C5" s="59"/>
      <c r="I5" s="60"/>
    </row>
    <row r="6" spans="2:9">
      <c r="B6" s="59"/>
      <c r="C6" s="59"/>
    </row>
    <row r="7" spans="2:9">
      <c r="H7" s="1" t="s">
        <v>45</v>
      </c>
    </row>
    <row r="8" spans="2:9" ht="20.5" thickBot="1">
      <c r="B8" s="64" t="s">
        <v>52</v>
      </c>
      <c r="H8" s="1" t="s">
        <v>46</v>
      </c>
    </row>
    <row r="9" spans="2:9" ht="18.5" thickTop="1">
      <c r="B9" s="2"/>
      <c r="C9" s="14"/>
      <c r="D9" s="131" t="s">
        <v>12</v>
      </c>
      <c r="E9" s="127" t="s">
        <v>79</v>
      </c>
      <c r="F9" s="125" t="s">
        <v>80</v>
      </c>
      <c r="G9" s="129" t="s">
        <v>70</v>
      </c>
      <c r="H9" s="125" t="s">
        <v>84</v>
      </c>
    </row>
    <row r="10" spans="2:9">
      <c r="B10" s="3"/>
      <c r="C10" s="15"/>
      <c r="D10" s="132"/>
      <c r="E10" s="128"/>
      <c r="F10" s="126"/>
      <c r="G10" s="130"/>
      <c r="H10" s="126"/>
    </row>
    <row r="11" spans="2:9" s="51" customFormat="1" ht="36.5" customHeight="1">
      <c r="B11" s="55"/>
      <c r="C11" s="52" t="s">
        <v>54</v>
      </c>
      <c r="D11" s="96">
        <v>46436</v>
      </c>
      <c r="E11" s="97">
        <v>48687</v>
      </c>
      <c r="F11" s="98">
        <v>48368</v>
      </c>
      <c r="G11" s="99">
        <v>49715</v>
      </c>
      <c r="H11" s="119">
        <v>49323</v>
      </c>
      <c r="I11"/>
    </row>
    <row r="12" spans="2:9" s="51" customFormat="1" ht="36.5" customHeight="1">
      <c r="B12" s="57"/>
      <c r="C12" s="53" t="s">
        <v>55</v>
      </c>
      <c r="D12" s="96">
        <v>22659</v>
      </c>
      <c r="E12" s="97">
        <v>19315</v>
      </c>
      <c r="F12" s="98">
        <v>18322</v>
      </c>
      <c r="G12" s="99">
        <v>18231</v>
      </c>
      <c r="H12" s="119">
        <v>16080</v>
      </c>
      <c r="I12"/>
    </row>
    <row r="13" spans="2:9" s="51" customFormat="1" ht="36.5" customHeight="1">
      <c r="B13" s="58"/>
      <c r="C13" s="52" t="s">
        <v>56</v>
      </c>
      <c r="D13" s="96">
        <v>21955</v>
      </c>
      <c r="E13" s="97">
        <v>22130</v>
      </c>
      <c r="F13" s="98">
        <v>22305</v>
      </c>
      <c r="G13" s="99">
        <v>23822</v>
      </c>
      <c r="H13" s="119">
        <v>23793</v>
      </c>
      <c r="I13"/>
    </row>
    <row r="14" spans="2:9" s="51" customFormat="1" ht="36.5" customHeight="1">
      <c r="B14" s="58"/>
      <c r="C14" s="53" t="s">
        <v>63</v>
      </c>
      <c r="D14" s="96">
        <v>13331</v>
      </c>
      <c r="E14" s="97">
        <v>13535</v>
      </c>
      <c r="F14" s="98">
        <v>13372</v>
      </c>
      <c r="G14" s="99">
        <v>13857</v>
      </c>
      <c r="H14" s="119">
        <v>13906</v>
      </c>
      <c r="I14"/>
    </row>
    <row r="15" spans="2:9" s="51" customFormat="1" ht="36.5" customHeight="1">
      <c r="B15" s="58"/>
      <c r="C15" s="54" t="s">
        <v>47</v>
      </c>
      <c r="D15" s="96">
        <v>636</v>
      </c>
      <c r="E15" s="97">
        <v>610</v>
      </c>
      <c r="F15" s="98">
        <v>603</v>
      </c>
      <c r="G15" s="99">
        <v>596</v>
      </c>
      <c r="H15" s="119">
        <v>576</v>
      </c>
      <c r="I15"/>
    </row>
    <row r="16" spans="2:9" s="51" customFormat="1" ht="36.5" customHeight="1">
      <c r="B16" s="56"/>
      <c r="C16" s="53" t="s">
        <v>57</v>
      </c>
      <c r="D16" s="96">
        <v>7986</v>
      </c>
      <c r="E16" s="97">
        <v>7984</v>
      </c>
      <c r="F16" s="98">
        <v>8329</v>
      </c>
      <c r="G16" s="99">
        <v>9368</v>
      </c>
      <c r="H16" s="119">
        <v>9309</v>
      </c>
      <c r="I16"/>
    </row>
    <row r="17" spans="2:9" s="51" customFormat="1" ht="36.5" customHeight="1">
      <c r="B17" s="123" t="s">
        <v>58</v>
      </c>
      <c r="C17" s="124"/>
      <c r="D17" s="96">
        <v>68391</v>
      </c>
      <c r="E17" s="97">
        <v>70818</v>
      </c>
      <c r="F17" s="98">
        <v>70674</v>
      </c>
      <c r="G17" s="99">
        <v>73538</v>
      </c>
      <c r="H17" s="119">
        <v>73117</v>
      </c>
      <c r="I17"/>
    </row>
    <row r="18" spans="2:9" s="51" customFormat="1" ht="36.5" customHeight="1">
      <c r="B18" s="55"/>
      <c r="C18" s="52" t="s">
        <v>59</v>
      </c>
      <c r="D18" s="96">
        <v>20572</v>
      </c>
      <c r="E18" s="97">
        <v>19357</v>
      </c>
      <c r="F18" s="98">
        <v>18626</v>
      </c>
      <c r="G18" s="99">
        <v>18303</v>
      </c>
      <c r="H18" s="119">
        <v>17935</v>
      </c>
      <c r="I18"/>
    </row>
    <row r="19" spans="2:9" s="51" customFormat="1" ht="36.5" customHeight="1">
      <c r="B19" s="58"/>
      <c r="C19" s="53" t="s">
        <v>66</v>
      </c>
      <c r="D19" s="96">
        <v>5895</v>
      </c>
      <c r="E19" s="97">
        <v>5217</v>
      </c>
      <c r="F19" s="98">
        <v>5187</v>
      </c>
      <c r="G19" s="99">
        <v>5197</v>
      </c>
      <c r="H19" s="119">
        <v>5152</v>
      </c>
      <c r="I19"/>
    </row>
    <row r="20" spans="2:9" s="51" customFormat="1" ht="36.5" customHeight="1">
      <c r="B20" s="58"/>
      <c r="C20" s="52" t="s">
        <v>60</v>
      </c>
      <c r="D20" s="96">
        <v>14259</v>
      </c>
      <c r="E20" s="97">
        <v>12999</v>
      </c>
      <c r="F20" s="98">
        <v>12897</v>
      </c>
      <c r="G20" s="99">
        <v>12093</v>
      </c>
      <c r="H20" s="119">
        <v>11993</v>
      </c>
      <c r="I20"/>
    </row>
    <row r="21" spans="2:9" s="51" customFormat="1" ht="36.5" customHeight="1">
      <c r="B21" s="56"/>
      <c r="C21" s="53" t="s">
        <v>67</v>
      </c>
      <c r="D21" s="96">
        <v>4396</v>
      </c>
      <c r="E21" s="97">
        <v>3709</v>
      </c>
      <c r="F21" s="98">
        <v>3537</v>
      </c>
      <c r="G21" s="99">
        <v>2921</v>
      </c>
      <c r="H21" s="119">
        <v>2750</v>
      </c>
      <c r="I21"/>
    </row>
    <row r="22" spans="2:9" s="51" customFormat="1" ht="36.5" customHeight="1">
      <c r="B22" s="123" t="s">
        <v>61</v>
      </c>
      <c r="C22" s="124"/>
      <c r="D22" s="96">
        <v>34831</v>
      </c>
      <c r="E22" s="97">
        <v>32357</v>
      </c>
      <c r="F22" s="98">
        <v>31523</v>
      </c>
      <c r="G22" s="99">
        <v>30396</v>
      </c>
      <c r="H22" s="119">
        <v>29929</v>
      </c>
      <c r="I22"/>
    </row>
    <row r="23" spans="2:9" s="51" customFormat="1" ht="36.5" customHeight="1">
      <c r="B23" s="123" t="s">
        <v>62</v>
      </c>
      <c r="C23" s="124"/>
      <c r="D23" s="96">
        <v>33559</v>
      </c>
      <c r="E23" s="97">
        <v>38461</v>
      </c>
      <c r="F23" s="98">
        <v>39150</v>
      </c>
      <c r="G23" s="99">
        <v>43141</v>
      </c>
      <c r="H23" s="119">
        <v>43187</v>
      </c>
      <c r="I23"/>
    </row>
    <row r="24" spans="2:9" s="51" customFormat="1" ht="36.5" customHeight="1" thickBot="1">
      <c r="B24" s="123" t="s">
        <v>65</v>
      </c>
      <c r="C24" s="124"/>
      <c r="D24" s="96">
        <v>68391</v>
      </c>
      <c r="E24" s="97">
        <v>70818</v>
      </c>
      <c r="F24" s="100">
        <v>70674</v>
      </c>
      <c r="G24" s="99">
        <v>73538</v>
      </c>
      <c r="H24" s="120">
        <v>73117</v>
      </c>
      <c r="I24"/>
    </row>
    <row r="25" spans="2:9" ht="10.5" customHeight="1" thickTop="1">
      <c r="D25" s="101"/>
      <c r="E25" s="101"/>
      <c r="F25" s="101"/>
      <c r="G25" s="101"/>
      <c r="H25" s="101"/>
    </row>
    <row r="26" spans="2:9">
      <c r="H26" s="1"/>
    </row>
  </sheetData>
  <mergeCells count="9">
    <mergeCell ref="H9:H10"/>
    <mergeCell ref="D9:D10"/>
    <mergeCell ref="B17:C17"/>
    <mergeCell ref="B22:C22"/>
    <mergeCell ref="B23:C23"/>
    <mergeCell ref="B24:C24"/>
    <mergeCell ref="F9:F10"/>
    <mergeCell ref="E9:E10"/>
    <mergeCell ref="G9:G10"/>
  </mergeCells>
  <phoneticPr fontId="2"/>
  <pageMargins left="0.70866141732283472" right="0.51181102362204722" top="0.55118110236220474" bottom="0.55118110236220474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2025.3_1Q(1)</vt:lpstr>
      <vt:lpstr>2025.3_1Q(2)</vt:lpstr>
      <vt:lpstr>2025.3_1Q(3)</vt:lpstr>
      <vt:lpstr>'2025.3_1Q(1)'!Print_Area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2024-08-06T08:50:29Z</cp:lastPrinted>
  <dcterms:created xsi:type="dcterms:W3CDTF">2015-06-05T18:19:34Z</dcterms:created>
  <dcterms:modified xsi:type="dcterms:W3CDTF">2024-08-07T02:14:15Z</dcterms:modified>
</cp:coreProperties>
</file>