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9484\Desktop\2023年4月から　経営戦略部資料置き場\IR全般\ファクトシート\開示\"/>
    </mc:Choice>
  </mc:AlternateContent>
  <xr:revisionPtr revIDLastSave="0" documentId="13_ncr:1_{9EA83D42-3C03-4E9E-9A8D-56F1F0880CFD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2025.3_2Q(1)" sheetId="1" r:id="rId1"/>
    <sheet name="2025.3_2Q(2)" sheetId="3" r:id="rId2"/>
    <sheet name="2025.3_2Q(3)" sheetId="5" r:id="rId3"/>
  </sheets>
  <definedNames>
    <definedName name="_xlnm.Print_Area" localSheetId="0">'2025.3_2Q(1)'!$B$2:$H$39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3" l="1"/>
  <c r="G26" i="3"/>
  <c r="G16" i="3"/>
  <c r="E43" i="3"/>
  <c r="E41" i="3"/>
  <c r="E39" i="3"/>
  <c r="E37" i="3"/>
  <c r="E35" i="3"/>
  <c r="E33" i="3"/>
  <c r="E24" i="3"/>
  <c r="E22" i="3"/>
  <c r="E20" i="3"/>
  <c r="E18" i="3"/>
  <c r="E16" i="3"/>
  <c r="E14" i="3"/>
  <c r="E12" i="3"/>
  <c r="G43" i="3"/>
  <c r="G39" i="3"/>
  <c r="G37" i="3"/>
  <c r="G35" i="3"/>
  <c r="G33" i="3"/>
  <c r="G24" i="3"/>
  <c r="G18" i="3"/>
  <c r="G14" i="3"/>
  <c r="G12" i="3"/>
  <c r="H37" i="3"/>
  <c r="H43" i="3"/>
  <c r="H41" i="3"/>
  <c r="H39" i="3"/>
  <c r="H35" i="3"/>
  <c r="H33" i="3"/>
  <c r="H26" i="3"/>
  <c r="H24" i="3"/>
  <c r="H22" i="3"/>
  <c r="H20" i="3"/>
  <c r="H18" i="3"/>
  <c r="H16" i="3"/>
  <c r="H14" i="3"/>
  <c r="H12" i="3"/>
  <c r="F43" i="3"/>
  <c r="F41" i="3"/>
  <c r="F39" i="3"/>
  <c r="F37" i="3"/>
  <c r="F35" i="3"/>
  <c r="F33" i="3"/>
  <c r="F26" i="3"/>
  <c r="F24" i="3"/>
  <c r="F22" i="3"/>
  <c r="F20" i="3"/>
  <c r="D26" i="3"/>
  <c r="D24" i="3"/>
  <c r="D22" i="3"/>
  <c r="D20" i="3"/>
  <c r="F18" i="3"/>
  <c r="F16" i="3"/>
  <c r="F14" i="3"/>
  <c r="F12" i="3"/>
  <c r="D37" i="3"/>
  <c r="D43" i="3"/>
  <c r="D41" i="3"/>
  <c r="D39" i="3"/>
  <c r="D35" i="3"/>
  <c r="D33" i="3"/>
  <c r="D18" i="3"/>
  <c r="D16" i="3"/>
  <c r="D14" i="3"/>
  <c r="D12" i="3"/>
  <c r="D24" i="1"/>
  <c r="D22" i="1"/>
  <c r="D20" i="1"/>
  <c r="D18" i="1"/>
  <c r="E30" i="1" l="1"/>
  <c r="E28" i="1"/>
  <c r="E26" i="1"/>
  <c r="E20" i="1"/>
  <c r="E24" i="1"/>
  <c r="E22" i="1"/>
  <c r="E18" i="1"/>
  <c r="E16" i="1"/>
  <c r="E14" i="1"/>
  <c r="E12" i="1"/>
  <c r="G24" i="1"/>
  <c r="G22" i="1"/>
  <c r="G20" i="1"/>
  <c r="G18" i="1"/>
  <c r="G16" i="1"/>
  <c r="G14" i="1"/>
  <c r="G12" i="1"/>
  <c r="H30" i="1"/>
  <c r="H28" i="1"/>
  <c r="H26" i="1"/>
  <c r="H24" i="1"/>
  <c r="H22" i="1"/>
  <c r="H20" i="1"/>
  <c r="H18" i="1"/>
  <c r="H16" i="1"/>
  <c r="H14" i="1"/>
  <c r="H12" i="1"/>
  <c r="D30" i="1"/>
  <c r="D28" i="1"/>
  <c r="D26" i="1"/>
  <c r="F30" i="1"/>
  <c r="F28" i="1"/>
  <c r="F26" i="1"/>
  <c r="F24" i="1"/>
  <c r="F22" i="1"/>
  <c r="F20" i="1"/>
  <c r="F16" i="1"/>
  <c r="F14" i="1"/>
  <c r="F12" i="1"/>
  <c r="F18" i="1"/>
  <c r="D16" i="1"/>
  <c r="D14" i="1"/>
  <c r="D12" i="1"/>
  <c r="D17" i="3" l="1"/>
</calcChain>
</file>

<file path=xl/sharedStrings.xml><?xml version="1.0" encoding="utf-8"?>
<sst xmlns="http://schemas.openxmlformats.org/spreadsheetml/2006/main" count="122" uniqueCount="81">
  <si>
    <t>売上高</t>
    <rPh sb="0" eb="3">
      <t>ウリアゲダカ</t>
    </rPh>
    <phoneticPr fontId="2"/>
  </si>
  <si>
    <t>Net Sales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</si>
  <si>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</si>
  <si>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</si>
  <si>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Overseas Sales</t>
    <phoneticPr fontId="2"/>
  </si>
  <si>
    <t>営業利益</t>
    <rPh sb="0" eb="4">
      <t>エイギョウリエキ</t>
    </rPh>
    <phoneticPr fontId="2"/>
  </si>
  <si>
    <t>Japan Sales</t>
    <phoneticPr fontId="2"/>
  </si>
  <si>
    <t>Operating Income</t>
    <phoneticPr fontId="2"/>
  </si>
  <si>
    <t>Ordinary Income</t>
    <phoneticPr fontId="2"/>
  </si>
  <si>
    <t>経常利益</t>
    <rPh sb="0" eb="4">
      <t>ケイジョウリエキ</t>
    </rPh>
    <phoneticPr fontId="2"/>
  </si>
  <si>
    <t>当期純利益（※1）</t>
    <rPh sb="0" eb="2">
      <t>トウキ</t>
    </rPh>
    <rPh sb="2" eb="5">
      <t>ジュンリエキ</t>
    </rPh>
    <phoneticPr fontId="2"/>
  </si>
  <si>
    <t>Net Income (※1)</t>
    <phoneticPr fontId="2"/>
  </si>
  <si>
    <t>FY2022.3</t>
    <phoneticPr fontId="2"/>
  </si>
  <si>
    <t>FY2024.3</t>
    <phoneticPr fontId="2"/>
  </si>
  <si>
    <t>FY2025.3</t>
    <phoneticPr fontId="2"/>
  </si>
  <si>
    <t>Kawai Musical Instruments Mfg. Co., Ltd.</t>
  </si>
  <si>
    <t>※1　親会社株主に帰属する当期純利益</t>
    <rPh sb="3" eb="6">
      <t>オヤガイシャ</t>
    </rPh>
    <rPh sb="6" eb="8">
      <t>カブヌシ</t>
    </rPh>
    <rPh sb="9" eb="11">
      <t>キゾク</t>
    </rPh>
    <rPh sb="13" eb="18">
      <t>トウキジュンリエキ</t>
    </rPh>
    <phoneticPr fontId="2"/>
  </si>
  <si>
    <t>※1　Net Income is this term's net profit attributing to the shareholders of the parent company.</t>
    <phoneticPr fontId="2"/>
  </si>
  <si>
    <t>上段：百万円　下段：増減率</t>
    <rPh sb="0" eb="2">
      <t>ジョウダン</t>
    </rPh>
    <rPh sb="3" eb="6">
      <t>ヒャクマンエン</t>
    </rPh>
    <rPh sb="7" eb="9">
      <t>ゲダン</t>
    </rPh>
    <rPh sb="10" eb="13">
      <t>ゾウゲンリツ</t>
    </rPh>
    <phoneticPr fontId="2"/>
  </si>
  <si>
    <t>Upper: Millions of yen,  Lower: Y/Y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</si>
  <si>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</si>
  <si>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</si>
  <si>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</si>
  <si>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</si>
  <si>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North America</t>
    <phoneticPr fontId="2"/>
  </si>
  <si>
    <t>Europe</t>
    <phoneticPr fontId="2"/>
  </si>
  <si>
    <t xml:space="preserve"> China</t>
    <phoneticPr fontId="2"/>
  </si>
  <si>
    <t>Other Areas</t>
    <phoneticPr fontId="2"/>
  </si>
  <si>
    <t>USドル　US$</t>
    <phoneticPr fontId="2"/>
  </si>
  <si>
    <t>ユーロ     EUR</t>
    <phoneticPr fontId="2"/>
  </si>
  <si>
    <t>人民元     CNY</t>
    <rPh sb="0" eb="3">
      <t>ジンミンゲン</t>
    </rPh>
    <phoneticPr fontId="2"/>
  </si>
  <si>
    <t>単位：円　Yen</t>
    <rPh sb="0" eb="2">
      <t>タンイ</t>
    </rPh>
    <rPh sb="3" eb="4">
      <t>エン</t>
    </rPh>
    <phoneticPr fontId="2"/>
  </si>
  <si>
    <t>事業別売上高</t>
    <rPh sb="0" eb="3">
      <t>ジギョウベツ</t>
    </rPh>
    <rPh sb="3" eb="6">
      <t>ウリアゲダカ</t>
    </rPh>
    <phoneticPr fontId="2"/>
  </si>
  <si>
    <t>Sales by Business Segment</t>
    <phoneticPr fontId="2"/>
  </si>
  <si>
    <t>楽器教育</t>
    <rPh sb="0" eb="4">
      <t>ガッキキョウイク</t>
    </rPh>
    <phoneticPr fontId="2"/>
  </si>
  <si>
    <t>素材加工</t>
    <rPh sb="0" eb="4">
      <t>ソザイカコウ</t>
    </rPh>
    <phoneticPr fontId="2"/>
  </si>
  <si>
    <t>事業別営業利益</t>
    <rPh sb="0" eb="3">
      <t>ジギョウベツ</t>
    </rPh>
    <rPh sb="3" eb="7">
      <t>エイギョウリエキ</t>
    </rPh>
    <phoneticPr fontId="2"/>
  </si>
  <si>
    <t>Operating Income by Business Segment</t>
    <phoneticPr fontId="2"/>
  </si>
  <si>
    <t>Material Processing Business</t>
    <phoneticPr fontId="2"/>
  </si>
  <si>
    <t>ピアノ</t>
    <phoneticPr fontId="2"/>
  </si>
  <si>
    <t>電子ピアノ</t>
    <rPh sb="0" eb="2">
      <t>デンシ</t>
    </rPh>
    <phoneticPr fontId="2"/>
  </si>
  <si>
    <t>国内売上</t>
    <rPh sb="0" eb="2">
      <t>コクナイ</t>
    </rPh>
    <rPh sb="2" eb="4">
      <t>ウリアゲ</t>
    </rPh>
    <phoneticPr fontId="2"/>
  </si>
  <si>
    <t>海外売上</t>
    <rPh sb="0" eb="4">
      <t>カイガイウリアゲ</t>
    </rPh>
    <phoneticPr fontId="2"/>
  </si>
  <si>
    <t>Piano</t>
    <phoneticPr fontId="2"/>
  </si>
  <si>
    <t>Digital Piano</t>
    <phoneticPr fontId="2"/>
  </si>
  <si>
    <t>（百万円）</t>
    <rPh sb="1" eb="4">
      <t>ヒャクマンエン</t>
    </rPh>
    <phoneticPr fontId="2"/>
  </si>
  <si>
    <t>（Millions of yen）</t>
    <phoneticPr fontId="2"/>
  </si>
  <si>
    <t>無形固定資産
Intangible assets</t>
    <rPh sb="0" eb="6">
      <t>ムケイコテイシサン</t>
    </rPh>
    <phoneticPr fontId="2"/>
  </si>
  <si>
    <r>
      <t>1.連結業績　</t>
    </r>
    <r>
      <rPr>
        <sz val="12"/>
        <color theme="1"/>
        <rFont val="Yu Gothic"/>
        <family val="3"/>
        <charset val="128"/>
        <scheme val="minor"/>
      </rPr>
      <t>Consolidated Financial Results</t>
    </r>
    <rPh sb="2" eb="4">
      <t>レンケツ</t>
    </rPh>
    <rPh sb="4" eb="6">
      <t>ギョウセキ</t>
    </rPh>
    <phoneticPr fontId="2"/>
  </si>
  <si>
    <r>
      <t>売上換算レート　</t>
    </r>
    <r>
      <rPr>
        <sz val="12"/>
        <color theme="1"/>
        <rFont val="Yu Gothic"/>
        <family val="3"/>
        <charset val="128"/>
        <scheme val="minor"/>
      </rPr>
      <t>Exchange rates</t>
    </r>
    <rPh sb="0" eb="2">
      <t>ウリアゲ</t>
    </rPh>
    <rPh sb="2" eb="4">
      <t>カンサン</t>
    </rPh>
    <phoneticPr fontId="2"/>
  </si>
  <si>
    <t>Others</t>
    <phoneticPr fontId="2"/>
  </si>
  <si>
    <t>Musical Instruments and Education Related Business</t>
    <phoneticPr fontId="2"/>
  </si>
  <si>
    <r>
      <t>4.連結貸借対照表の主要項目　</t>
    </r>
    <r>
      <rPr>
        <sz val="12"/>
        <color theme="1"/>
        <rFont val="Yu Gothic"/>
        <family val="3"/>
        <charset val="128"/>
        <scheme val="minor"/>
      </rPr>
      <t>Main items of consolidated balance sheets</t>
    </r>
    <rPh sb="2" eb="4">
      <t>レンケツ</t>
    </rPh>
    <rPh sb="4" eb="9">
      <t>タイシャクタイショウヒョウ</t>
    </rPh>
    <rPh sb="10" eb="12">
      <t>シュヨウ</t>
    </rPh>
    <rPh sb="12" eb="14">
      <t>コウモク</t>
    </rPh>
    <phoneticPr fontId="2"/>
  </si>
  <si>
    <r>
      <t>3.鍵盤楽器販売金額　</t>
    </r>
    <r>
      <rPr>
        <sz val="12"/>
        <color theme="1"/>
        <rFont val="Yu Gothic"/>
        <family val="3"/>
        <charset val="128"/>
        <scheme val="minor"/>
      </rPr>
      <t>Sales of Keyboard Instruments</t>
    </r>
    <rPh sb="2" eb="4">
      <t>ケンバン</t>
    </rPh>
    <rPh sb="4" eb="6">
      <t>ガッキ</t>
    </rPh>
    <rPh sb="6" eb="8">
      <t>ハンバイ</t>
    </rPh>
    <rPh sb="8" eb="10">
      <t>キンガク</t>
    </rPh>
    <phoneticPr fontId="2"/>
  </si>
  <si>
    <t>流動資産
Current assets</t>
    <rPh sb="0" eb="4">
      <t>リュウドウシサン</t>
    </rPh>
    <phoneticPr fontId="2"/>
  </si>
  <si>
    <t>現金及び預金
Cash and deposits</t>
    <rPh sb="0" eb="2">
      <t>ゲンキン</t>
    </rPh>
    <rPh sb="2" eb="3">
      <t>オヨ</t>
    </rPh>
    <rPh sb="4" eb="6">
      <t>ヨキン</t>
    </rPh>
    <phoneticPr fontId="2"/>
  </si>
  <si>
    <t>固定資産
Non-current assets</t>
    <rPh sb="0" eb="4">
      <t>コテイシサン</t>
    </rPh>
    <phoneticPr fontId="2"/>
  </si>
  <si>
    <t>投資その他の資産
Investments and other assets</t>
    <rPh sb="0" eb="2">
      <t>トウシ</t>
    </rPh>
    <rPh sb="4" eb="5">
      <t>タ</t>
    </rPh>
    <rPh sb="6" eb="8">
      <t>シサン</t>
    </rPh>
    <phoneticPr fontId="2"/>
  </si>
  <si>
    <t>資産合計
Total assets</t>
    <rPh sb="0" eb="2">
      <t>シサン</t>
    </rPh>
    <rPh sb="2" eb="4">
      <t>ゴウケイ</t>
    </rPh>
    <phoneticPr fontId="2"/>
  </si>
  <si>
    <t>流動負債
Current liabilities</t>
    <rPh sb="0" eb="2">
      <t>リュウドウ</t>
    </rPh>
    <rPh sb="2" eb="4">
      <t>フサイ</t>
    </rPh>
    <phoneticPr fontId="2"/>
  </si>
  <si>
    <t>固定負債
Non-current liabilities</t>
    <rPh sb="0" eb="2">
      <t>コテイ</t>
    </rPh>
    <rPh sb="2" eb="4">
      <t>フサイ</t>
    </rPh>
    <phoneticPr fontId="2"/>
  </si>
  <si>
    <t>負債合計
Total liabilities</t>
    <rPh sb="0" eb="2">
      <t>フサイ</t>
    </rPh>
    <rPh sb="2" eb="4">
      <t>ゴウケイ</t>
    </rPh>
    <phoneticPr fontId="2"/>
  </si>
  <si>
    <t>純資産合計
Total net assets</t>
    <rPh sb="0" eb="3">
      <t>ジュンシサン</t>
    </rPh>
    <rPh sb="3" eb="5">
      <t>ゴウケイ</t>
    </rPh>
    <phoneticPr fontId="2"/>
  </si>
  <si>
    <t>有形固定資産
Property, plant and equipment</t>
    <rPh sb="0" eb="2">
      <t>ユウケイ</t>
    </rPh>
    <rPh sb="2" eb="6">
      <t>コテイシサン</t>
    </rPh>
    <phoneticPr fontId="2"/>
  </si>
  <si>
    <r>
      <t>2.事業別業績　</t>
    </r>
    <r>
      <rPr>
        <sz val="12"/>
        <color theme="1"/>
        <rFont val="Yu Gothic"/>
        <family val="3"/>
        <charset val="128"/>
        <scheme val="minor"/>
      </rPr>
      <t>Sales / Operating Income by Business segment</t>
    </r>
    <rPh sb="2" eb="5">
      <t>ジギョウベツ</t>
    </rPh>
    <rPh sb="5" eb="7">
      <t>ギョウセキ</t>
    </rPh>
    <phoneticPr fontId="2"/>
  </si>
  <si>
    <t>負債純資産合計
Total liabilities and net assets</t>
    <rPh sb="0" eb="2">
      <t>フサイ</t>
    </rPh>
    <rPh sb="2" eb="5">
      <t>ジュンシサン</t>
    </rPh>
    <rPh sb="5" eb="7">
      <t>ゴウケイ</t>
    </rPh>
    <phoneticPr fontId="2"/>
  </si>
  <si>
    <t>短期借入金
Short-term borrowings</t>
    <rPh sb="0" eb="2">
      <t>タンキ</t>
    </rPh>
    <rPh sb="2" eb="5">
      <t>カリイレキン</t>
    </rPh>
    <phoneticPr fontId="2"/>
  </si>
  <si>
    <t>長期借入金
Long-term borrowings</t>
    <rPh sb="0" eb="2">
      <t>チョウキ</t>
    </rPh>
    <rPh sb="2" eb="5">
      <t>カリイレキン</t>
    </rPh>
    <phoneticPr fontId="2"/>
  </si>
  <si>
    <t>FY2024.3</t>
  </si>
  <si>
    <t>上段：百万円　下段：前年同期比増減率</t>
    <rPh sb="0" eb="2">
      <t>ジョウダン</t>
    </rPh>
    <rPh sb="3" eb="6">
      <t>ヒャクマンエン</t>
    </rPh>
    <rPh sb="7" eb="9">
      <t>ゲダン</t>
    </rPh>
    <rPh sb="10" eb="15">
      <t>ゼンネンドウキヒ</t>
    </rPh>
    <rPh sb="15" eb="18">
      <t>ゾウゲンリツ</t>
    </rPh>
    <phoneticPr fontId="2"/>
  </si>
  <si>
    <t>FY2023.3</t>
  </si>
  <si>
    <t>2025年3月期第2四半期　ファクトシート</t>
    <rPh sb="4" eb="5">
      <t>ネン</t>
    </rPh>
    <rPh sb="6" eb="8">
      <t>ガツキ</t>
    </rPh>
    <rPh sb="8" eb="9">
      <t>ダイ</t>
    </rPh>
    <rPh sb="10" eb="13">
      <t>シハンキ</t>
    </rPh>
    <phoneticPr fontId="2"/>
  </si>
  <si>
    <t>Second Quarter of FY2025.3　Fact Sheet</t>
    <phoneticPr fontId="2"/>
  </si>
  <si>
    <t>通期予想
Forecast</t>
    <rPh sb="0" eb="2">
      <t>ツウキ</t>
    </rPh>
    <rPh sb="2" eb="4">
      <t>ヨソウ</t>
    </rPh>
    <phoneticPr fontId="2"/>
  </si>
  <si>
    <t>2Q実績
Results</t>
    <rPh sb="2" eb="4">
      <t>ジッセキ</t>
    </rPh>
    <phoneticPr fontId="2"/>
  </si>
  <si>
    <t>FY2023.3
通期実績
Results</t>
    <rPh sb="9" eb="11">
      <t>ツウキ</t>
    </rPh>
    <rPh sb="11" eb="13">
      <t>ジッセキ</t>
    </rPh>
    <phoneticPr fontId="2"/>
  </si>
  <si>
    <t>通期実績
Results</t>
    <rPh sb="0" eb="2">
      <t>ツウキ</t>
    </rPh>
    <rPh sb="2" eb="4">
      <t>ジッセキ</t>
    </rPh>
    <phoneticPr fontId="2"/>
  </si>
  <si>
    <t>FY2025.3
2Q</t>
    <phoneticPr fontId="2"/>
  </si>
  <si>
    <t>FY2024.3
2Q</t>
    <phoneticPr fontId="2"/>
  </si>
  <si>
    <t>―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</si>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</sst>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0.0%;[Red]\△0.0%"/>
    <numFmt numFmtId="177" formatCode="#,##0;[Red]\△#,##0"/>
    <numFmt numFmtId="178" formatCode="#,##0.0;[Red]\-#,##0.0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.5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0" fillId="2" borderId="14" xfId="0" applyFill="1" applyBorder="1"/>
    <xf numFmtId="0" fontId="0" fillId="2" borderId="15" xfId="0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0" fillId="2" borderId="12" xfId="0" applyFill="1" applyBorder="1"/>
    <xf numFmtId="0" fontId="0" fillId="2" borderId="13" xfId="0" applyFill="1" applyBorder="1"/>
    <xf numFmtId="177" fontId="0" fillId="2" borderId="11" xfId="1" applyNumberFormat="1" applyFont="1" applyFill="1" applyBorder="1" applyAlignment="1">
      <alignment vertical="center"/>
    </xf>
    <xf numFmtId="176" fontId="0" fillId="2" borderId="10" xfId="2" applyNumberFormat="1" applyFont="1" applyFill="1" applyBorder="1" applyAlignment="1">
      <alignment vertical="center"/>
    </xf>
    <xf numFmtId="176" fontId="0" fillId="2" borderId="9" xfId="2" applyNumberFormat="1" applyFont="1" applyFill="1" applyBorder="1" applyAlignment="1">
      <alignment vertical="center"/>
    </xf>
    <xf numFmtId="177" fontId="0" fillId="2" borderId="8" xfId="1" applyNumberFormat="1" applyFont="1" applyFill="1" applyBorder="1" applyAlignment="1">
      <alignment vertical="center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0" fontId="5" fillId="2" borderId="7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2" borderId="2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 indent="2"/>
    </xf>
    <xf numFmtId="0" fontId="0" fillId="2" borderId="22" xfId="0" applyFont="1" applyFill="1" applyBorder="1" applyAlignment="1">
      <alignment horizontal="left" vertical="center" wrapText="1" indent="2"/>
    </xf>
    <xf numFmtId="0" fontId="0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13" fillId="2" borderId="10" xfId="0" applyFont="1" applyFill="1" applyBorder="1" applyAlignment="1">
      <alignment horizontal="left" vertical="center" wrapText="1" indent="1"/>
    </xf>
    <xf numFmtId="177" fontId="0" fillId="2" borderId="31" xfId="1" applyNumberFormat="1" applyFont="1" applyFill="1" applyBorder="1" applyAlignment="1">
      <alignment vertical="center"/>
    </xf>
    <xf numFmtId="176" fontId="0" fillId="2" borderId="28" xfId="2" applyNumberFormat="1" applyFont="1" applyFill="1" applyBorder="1" applyAlignment="1">
      <alignment vertical="center"/>
    </xf>
    <xf numFmtId="177" fontId="0" fillId="2" borderId="32" xfId="1" applyNumberFormat="1" applyFont="1" applyFill="1" applyBorder="1" applyAlignment="1">
      <alignment vertical="center"/>
    </xf>
    <xf numFmtId="0" fontId="0" fillId="2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176" fontId="0" fillId="2" borderId="27" xfId="2" applyNumberFormat="1" applyFont="1" applyFill="1" applyBorder="1" applyAlignment="1">
      <alignment vertical="center"/>
    </xf>
    <xf numFmtId="177" fontId="0" fillId="2" borderId="34" xfId="1" applyNumberFormat="1" applyFont="1" applyFill="1" applyBorder="1" applyAlignment="1">
      <alignment vertical="center"/>
    </xf>
    <xf numFmtId="176" fontId="0" fillId="2" borderId="33" xfId="2" applyNumberFormat="1" applyFont="1" applyFill="1" applyBorder="1" applyAlignment="1">
      <alignment vertical="center"/>
    </xf>
    <xf numFmtId="0" fontId="5" fillId="2" borderId="42" xfId="0" applyFont="1" applyFill="1" applyBorder="1" applyAlignment="1">
      <alignment horizontal="left" vertical="center"/>
    </xf>
    <xf numFmtId="38" fontId="0" fillId="2" borderId="20" xfId="1" applyFont="1" applyFill="1" applyBorder="1" applyAlignment="1">
      <alignment vertical="center"/>
    </xf>
    <xf numFmtId="38" fontId="0" fillId="2" borderId="21" xfId="1" applyFont="1" applyFill="1" applyBorder="1" applyAlignment="1">
      <alignment vertical="center"/>
    </xf>
    <xf numFmtId="38" fontId="0" fillId="2" borderId="35" xfId="1" applyFont="1" applyFill="1" applyBorder="1" applyAlignment="1">
      <alignment vertical="center"/>
    </xf>
    <xf numFmtId="38" fontId="0" fillId="2" borderId="22" xfId="1" applyFont="1" applyFill="1" applyBorder="1" applyAlignment="1">
      <alignment vertical="center"/>
    </xf>
    <xf numFmtId="38" fontId="0" fillId="2" borderId="36" xfId="1" applyFont="1" applyFill="1" applyBorder="1" applyAlignment="1">
      <alignment vertical="center"/>
    </xf>
    <xf numFmtId="38" fontId="0" fillId="0" borderId="0" xfId="1" applyFont="1" applyAlignment="1"/>
    <xf numFmtId="0" fontId="5" fillId="2" borderId="3" xfId="0" applyFont="1" applyFill="1" applyBorder="1" applyAlignment="1">
      <alignment horizontal="left" vertical="center" indent="1"/>
    </xf>
    <xf numFmtId="177" fontId="0" fillId="2" borderId="4" xfId="1" applyNumberFormat="1" applyFont="1" applyFill="1" applyBorder="1" applyAlignment="1">
      <alignment vertical="center"/>
    </xf>
    <xf numFmtId="176" fontId="0" fillId="2" borderId="17" xfId="2" applyNumberFormat="1" applyFont="1" applyFill="1" applyBorder="1" applyAlignment="1">
      <alignment vertical="center"/>
    </xf>
    <xf numFmtId="177" fontId="0" fillId="2" borderId="45" xfId="1" applyNumberFormat="1" applyFont="1" applyFill="1" applyBorder="1" applyAlignment="1">
      <alignment vertical="center"/>
    </xf>
    <xf numFmtId="176" fontId="0" fillId="2" borderId="5" xfId="2" applyNumberFormat="1" applyFont="1" applyFill="1" applyBorder="1" applyAlignment="1">
      <alignment vertical="center"/>
    </xf>
    <xf numFmtId="0" fontId="0" fillId="2" borderId="4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77" fontId="0" fillId="2" borderId="12" xfId="1" applyNumberFormat="1" applyFont="1" applyFill="1" applyBorder="1" applyAlignment="1">
      <alignment vertical="center"/>
    </xf>
    <xf numFmtId="176" fontId="0" fillId="2" borderId="47" xfId="2" applyNumberFormat="1" applyFont="1" applyFill="1" applyBorder="1" applyAlignment="1">
      <alignment vertical="center"/>
    </xf>
    <xf numFmtId="177" fontId="0" fillId="2" borderId="48" xfId="1" applyNumberFormat="1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178" fontId="0" fillId="0" borderId="49" xfId="1" applyNumberFormat="1" applyFont="1" applyFill="1" applyBorder="1" applyAlignment="1">
      <alignment vertical="center"/>
    </xf>
    <xf numFmtId="178" fontId="0" fillId="0" borderId="28" xfId="1" applyNumberFormat="1" applyFont="1" applyFill="1" applyBorder="1" applyAlignment="1">
      <alignment vertical="center"/>
    </xf>
    <xf numFmtId="178" fontId="0" fillId="0" borderId="42" xfId="1" applyNumberFormat="1" applyFont="1" applyFill="1" applyBorder="1" applyAlignment="1">
      <alignment vertical="center"/>
    </xf>
    <xf numFmtId="178" fontId="0" fillId="0" borderId="50" xfId="1" applyNumberFormat="1" applyFont="1" applyFill="1" applyBorder="1" applyAlignment="1">
      <alignment vertical="center"/>
    </xf>
    <xf numFmtId="178" fontId="0" fillId="0" borderId="29" xfId="1" applyNumberFormat="1" applyFont="1" applyFill="1" applyBorder="1" applyAlignment="1">
      <alignment vertical="center"/>
    </xf>
    <xf numFmtId="178" fontId="0" fillId="0" borderId="40" xfId="1" applyNumberFormat="1" applyFont="1" applyFill="1" applyBorder="1" applyAlignment="1">
      <alignment vertical="center"/>
    </xf>
    <xf numFmtId="178" fontId="0" fillId="0" borderId="51" xfId="1" applyNumberFormat="1" applyFont="1" applyFill="1" applyBorder="1" applyAlignment="1">
      <alignment vertical="center"/>
    </xf>
    <xf numFmtId="178" fontId="0" fillId="0" borderId="30" xfId="1" applyNumberFormat="1" applyFont="1" applyFill="1" applyBorder="1" applyAlignment="1">
      <alignment vertical="center"/>
    </xf>
    <xf numFmtId="178" fontId="0" fillId="0" borderId="41" xfId="1" applyNumberFormat="1" applyFont="1" applyFill="1" applyBorder="1" applyAlignment="1">
      <alignment vertical="center"/>
    </xf>
    <xf numFmtId="178" fontId="0" fillId="0" borderId="47" xfId="1" applyNumberFormat="1" applyFont="1" applyFill="1" applyBorder="1" applyAlignment="1">
      <alignment vertical="center"/>
    </xf>
    <xf numFmtId="178" fontId="0" fillId="0" borderId="52" xfId="1" applyNumberFormat="1" applyFont="1" applyFill="1" applyBorder="1" applyAlignment="1">
      <alignment vertical="center"/>
    </xf>
    <xf numFmtId="178" fontId="0" fillId="0" borderId="53" xfId="1" applyNumberFormat="1" applyFont="1" applyFill="1" applyBorder="1" applyAlignment="1">
      <alignment vertical="center"/>
    </xf>
    <xf numFmtId="177" fontId="0" fillId="2" borderId="55" xfId="1" applyNumberFormat="1" applyFont="1" applyFill="1" applyBorder="1" applyAlignment="1">
      <alignment vertical="center"/>
    </xf>
    <xf numFmtId="176" fontId="0" fillId="2" borderId="42" xfId="2" applyNumberFormat="1" applyFont="1" applyFill="1" applyBorder="1" applyAlignment="1">
      <alignment vertical="center"/>
    </xf>
    <xf numFmtId="176" fontId="0" fillId="2" borderId="15" xfId="2" applyNumberFormat="1" applyFont="1" applyFill="1" applyBorder="1" applyAlignment="1">
      <alignment vertical="center"/>
    </xf>
    <xf numFmtId="177" fontId="0" fillId="2" borderId="0" xfId="1" applyNumberFormat="1" applyFont="1" applyFill="1" applyBorder="1" applyAlignment="1">
      <alignment vertical="center"/>
    </xf>
    <xf numFmtId="177" fontId="0" fillId="2" borderId="23" xfId="1" applyNumberFormat="1" applyFont="1" applyFill="1" applyBorder="1" applyAlignment="1">
      <alignment vertical="center"/>
    </xf>
    <xf numFmtId="176" fontId="0" fillId="2" borderId="13" xfId="2" applyNumberFormat="1" applyFont="1" applyFill="1" applyBorder="1" applyAlignment="1">
      <alignment vertical="center"/>
    </xf>
    <xf numFmtId="177" fontId="0" fillId="2" borderId="56" xfId="1" applyNumberFormat="1" applyFont="1" applyFill="1" applyBorder="1" applyAlignment="1">
      <alignment vertical="center"/>
    </xf>
    <xf numFmtId="177" fontId="5" fillId="2" borderId="31" xfId="1" applyNumberFormat="1" applyFont="1" applyFill="1" applyBorder="1" applyAlignment="1">
      <alignment vertical="center"/>
    </xf>
    <xf numFmtId="176" fontId="5" fillId="2" borderId="28" xfId="2" applyNumberFormat="1" applyFont="1" applyFill="1" applyBorder="1" applyAlignment="1">
      <alignment vertical="center"/>
    </xf>
    <xf numFmtId="177" fontId="5" fillId="2" borderId="32" xfId="1" applyNumberFormat="1" applyFont="1" applyFill="1" applyBorder="1" applyAlignment="1">
      <alignment vertical="center"/>
    </xf>
    <xf numFmtId="176" fontId="5" fillId="2" borderId="27" xfId="2" applyNumberFormat="1" applyFont="1" applyFill="1" applyBorder="1" applyAlignment="1">
      <alignment vertical="center"/>
    </xf>
    <xf numFmtId="176" fontId="5" fillId="2" borderId="33" xfId="2" applyNumberFormat="1" applyFont="1" applyFill="1" applyBorder="1" applyAlignment="1">
      <alignment vertical="center"/>
    </xf>
    <xf numFmtId="178" fontId="0" fillId="2" borderId="54" xfId="1" applyNumberFormat="1" applyFont="1" applyFill="1" applyBorder="1" applyAlignment="1">
      <alignment vertical="center"/>
    </xf>
    <xf numFmtId="178" fontId="0" fillId="2" borderId="29" xfId="1" applyNumberFormat="1" applyFont="1" applyFill="1" applyBorder="1" applyAlignment="1">
      <alignment vertical="center"/>
    </xf>
    <xf numFmtId="178" fontId="0" fillId="2" borderId="30" xfId="1" applyNumberFormat="1" applyFont="1" applyFill="1" applyBorder="1" applyAlignment="1">
      <alignment vertical="center"/>
    </xf>
    <xf numFmtId="176" fontId="0" fillId="2" borderId="28" xfId="2" applyNumberFormat="1" applyFont="1" applyFill="1" applyBorder="1" applyAlignment="1">
      <alignment horizontal="right" vertical="center"/>
    </xf>
    <xf numFmtId="176" fontId="0" fillId="2" borderId="33" xfId="2" applyNumberFormat="1" applyFont="1" applyFill="1" applyBorder="1" applyAlignment="1">
      <alignment horizontal="right" vertical="center"/>
    </xf>
    <xf numFmtId="38" fontId="5" fillId="2" borderId="35" xfId="1" applyFont="1" applyFill="1" applyBorder="1" applyAlignment="1">
      <alignment vertical="center"/>
    </xf>
    <xf numFmtId="38" fontId="5" fillId="2" borderId="36" xfId="1" applyFon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49" fontId="0" fillId="2" borderId="14" xfId="0" applyNumberForma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left" vertical="center" wrapText="1" indent="1"/>
    </xf>
    <xf numFmtId="0" fontId="0" fillId="2" borderId="22" xfId="0" applyFont="1" applyFill="1" applyBorder="1" applyAlignment="1">
      <alignment horizontal="left" vertical="center" wrapText="1" inden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7" fontId="5" fillId="2" borderId="34" xfId="1" applyNumberFormat="1" applyFont="1" applyFill="1" applyBorder="1" applyAlignment="1">
      <alignment vertical="center"/>
    </xf>
    <xf numFmtId="176" fontId="5" fillId="2" borderId="28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309563</xdr:colOff>
      <xdr:row>1</xdr:row>
      <xdr:rowOff>1138</xdr:rowOff>
    </xdr:from>
    <xdr:to>
      <xdr:col>7</xdr:col>
      <xdr:colOff>954584</xdr:colOff>
      <xdr:row>2</xdr:row>
      <xdr:rowOff>192771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AF2971-8654-44A7-AFAF-962796849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777" y="137209"/>
          <a:ext cx="1606593" cy="481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284617</xdr:colOff>
      <xdr:row>3</xdr:row>
      <xdr:rowOff>25493</xdr:rowOff>
    </xdr:from>
    <xdr:to>
      <xdr:col>8</xdr:col>
      <xdr:colOff>7890</xdr:colOff>
      <xdr:row>3</xdr:row>
      <xdr:rowOff>190093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5B0AB3-FABA-86E0-E2AE-2C0C1846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831" y="705850"/>
          <a:ext cx="1646416" cy="16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</xdr:colOff>
      <xdr:row>1</xdr:row>
      <xdr:rowOff>23816</xdr:rowOff>
    </xdr:from>
    <xdr:to>
      <xdr:col>7</xdr:col>
      <xdr:colOff>803771</xdr:colOff>
      <xdr:row>2</xdr:row>
      <xdr:rowOff>222253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5374F1-7073-41EE-9BDB-794CF2E7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63516"/>
          <a:ext cx="1594346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</xdr:row>
      <xdr:rowOff>15880</xdr:rowOff>
    </xdr:from>
    <xdr:to>
      <xdr:col>9</xdr:col>
      <xdr:colOff>114342</xdr:colOff>
      <xdr:row>2</xdr:row>
      <xdr:rowOff>214317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58027E-E7F4-43E6-B1E3-1D118530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58755"/>
          <a:ext cx="1590717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opLeftCell="A22" zoomScale="80" zoomScaleNormal="80" workbookViewId="0">
      <selection activeCell="H44" sqref="H44"/>
    </sheetView>
  </sheetViews>
  <sheetFormatPr defaultRowHeight="18"/>
  <cols>
    <col min="1" max="1" width="2.33203125" customWidth="1"/>
    <col min="2" max="2" width="2.83203125" customWidth="1"/>
    <col min="3" max="3" width="20.58203125" customWidth="1"/>
    <col min="4" max="8" width="12.58203125" customWidth="1"/>
    <col min="9" max="9" width="9.58203125" customWidth="1"/>
  </cols>
  <sheetData>
    <row r="1" spans="2:8" ht="11" customHeight="1"/>
    <row r="2" spans="2:8" ht="22.5">
      <c r="B2" s="6" t="s">
        <v>71</v>
      </c>
    </row>
    <row r="3" spans="2:8" ht="20">
      <c r="B3" s="49" t="s">
        <v>72</v>
      </c>
    </row>
    <row r="4" spans="2:8">
      <c r="H4" s="5"/>
    </row>
    <row r="5" spans="2:8">
      <c r="B5" s="47"/>
      <c r="C5" s="47"/>
      <c r="D5" s="47"/>
      <c r="E5" s="12"/>
      <c r="H5" s="48" t="s">
        <v>15</v>
      </c>
    </row>
    <row r="6" spans="2:8">
      <c r="B6" s="47"/>
      <c r="C6" s="47"/>
      <c r="D6" s="47"/>
      <c r="E6" s="12"/>
      <c r="H6" s="1"/>
    </row>
    <row r="7" spans="2:8">
      <c r="H7" s="1" t="s">
        <v>69</v>
      </c>
    </row>
    <row r="8" spans="2:8" ht="20">
      <c r="B8" s="49" t="s">
        <v>48</v>
      </c>
      <c r="H8" s="1" t="s">
        <v>19</v>
      </c>
    </row>
    <row r="9" spans="2:8" ht="18.5" thickBot="1">
      <c r="B9" s="2"/>
      <c r="C9" s="7"/>
      <c r="D9" s="114" t="s">
        <v>75</v>
      </c>
      <c r="E9" s="112" t="s">
        <v>13</v>
      </c>
      <c r="F9" s="113"/>
      <c r="G9" s="112" t="s">
        <v>14</v>
      </c>
      <c r="H9" s="113"/>
    </row>
    <row r="10" spans="2:8" ht="40" customHeight="1" thickTop="1">
      <c r="B10" s="3"/>
      <c r="C10" s="8"/>
      <c r="D10" s="115"/>
      <c r="E10" s="55" t="s">
        <v>74</v>
      </c>
      <c r="F10" s="74" t="s">
        <v>76</v>
      </c>
      <c r="G10" s="79" t="s">
        <v>74</v>
      </c>
      <c r="H10" s="75" t="s">
        <v>73</v>
      </c>
    </row>
    <row r="11" spans="2:8">
      <c r="B11" s="22" t="s">
        <v>0</v>
      </c>
      <c r="C11" s="23"/>
      <c r="D11" s="70">
        <v>87771</v>
      </c>
      <c r="E11" s="52">
        <v>40405</v>
      </c>
      <c r="F11" s="18">
        <v>80192</v>
      </c>
      <c r="G11" s="52">
        <v>36156</v>
      </c>
      <c r="H11" s="76">
        <v>77500</v>
      </c>
    </row>
    <row r="12" spans="2:8">
      <c r="B12" s="30" t="s">
        <v>1</v>
      </c>
      <c r="C12" s="31"/>
      <c r="D12" s="71">
        <f>(D11/85703)-1</f>
        <v>2.4129843762762171E-2</v>
      </c>
      <c r="E12" s="53">
        <f>(E11/42024)-1</f>
        <v>-3.8525604416523862E-2</v>
      </c>
      <c r="F12" s="16">
        <f>(F11/D11)-1</f>
        <v>-8.6349705483588002E-2</v>
      </c>
      <c r="G12" s="53">
        <f>(G11/E11)-1</f>
        <v>-0.10516025244400451</v>
      </c>
      <c r="H12" s="77">
        <f>(H11/F11)-1</f>
        <v>-3.3569433359936118E-2</v>
      </c>
    </row>
    <row r="13" spans="2:8">
      <c r="B13" s="25"/>
      <c r="C13" s="26" t="s">
        <v>2</v>
      </c>
      <c r="D13" s="72">
        <v>47160</v>
      </c>
      <c r="E13" s="54">
        <v>22448</v>
      </c>
      <c r="F13" s="15">
        <v>45893</v>
      </c>
      <c r="G13" s="54">
        <v>22001</v>
      </c>
      <c r="H13" s="78">
        <v>47450</v>
      </c>
    </row>
    <row r="14" spans="2:8">
      <c r="B14" s="25"/>
      <c r="C14" s="34" t="s">
        <v>6</v>
      </c>
      <c r="D14" s="71">
        <f>(D13/48260)-1</f>
        <v>-2.2793203481143776E-2</v>
      </c>
      <c r="E14" s="53">
        <f>(E13/22616)-1</f>
        <v>-7.4283692960736003E-3</v>
      </c>
      <c r="F14" s="16">
        <f>(F13/D13)-1</f>
        <v>-2.6865988125530094E-2</v>
      </c>
      <c r="G14" s="53">
        <f>(G13/E13)-1</f>
        <v>-1.9912687099073456E-2</v>
      </c>
      <c r="H14" s="77">
        <f>(H13/F13)-1</f>
        <v>3.3926742640489893E-2</v>
      </c>
    </row>
    <row r="15" spans="2:8">
      <c r="B15" s="25"/>
      <c r="C15" s="26" t="s">
        <v>3</v>
      </c>
      <c r="D15" s="72">
        <v>40610</v>
      </c>
      <c r="E15" s="54">
        <v>17957</v>
      </c>
      <c r="F15" s="15">
        <v>34299</v>
      </c>
      <c r="G15" s="54">
        <v>14154</v>
      </c>
      <c r="H15" s="78">
        <v>30050</v>
      </c>
    </row>
    <row r="16" spans="2:8">
      <c r="B16" s="25"/>
      <c r="C16" s="34" t="s">
        <v>4</v>
      </c>
      <c r="D16" s="71">
        <f>(D15/37443)-1</f>
        <v>8.4581897818016616E-2</v>
      </c>
      <c r="E16" s="53">
        <f>(E15/19407)-1</f>
        <v>-7.4715308909156453E-2</v>
      </c>
      <c r="F16" s="16">
        <f>(F15/D15)-1</f>
        <v>-0.15540507264220638</v>
      </c>
      <c r="G16" s="53">
        <f>(G15/E15)-1</f>
        <v>-0.21178370551873926</v>
      </c>
      <c r="H16" s="77">
        <f>(H15/F15)-1</f>
        <v>-0.12388116271611416</v>
      </c>
    </row>
    <row r="17" spans="2:8">
      <c r="B17" s="25"/>
      <c r="C17" s="35" t="s">
        <v>20</v>
      </c>
      <c r="D17" s="72">
        <v>10826</v>
      </c>
      <c r="E17" s="54">
        <v>5091</v>
      </c>
      <c r="F17" s="15">
        <v>9425</v>
      </c>
      <c r="G17" s="54">
        <v>3462</v>
      </c>
      <c r="H17" s="78">
        <v>7300</v>
      </c>
    </row>
    <row r="18" spans="2:8">
      <c r="B18" s="25"/>
      <c r="C18" s="36" t="s">
        <v>24</v>
      </c>
      <c r="D18" s="71">
        <f>(D17/7590)-1</f>
        <v>0.42635046113306974</v>
      </c>
      <c r="E18" s="53">
        <f>(E17/5500)-1</f>
        <v>-7.4363636363636409E-2</v>
      </c>
      <c r="F18" s="16">
        <f>(F17/D17)-1</f>
        <v>-0.12941067799741368</v>
      </c>
      <c r="G18" s="53">
        <f>(G17/E17)-1</f>
        <v>-0.31997642899233947</v>
      </c>
      <c r="H18" s="77">
        <f>(H17/F17)-1</f>
        <v>-0.22546419098143233</v>
      </c>
    </row>
    <row r="19" spans="2:8">
      <c r="B19" s="25"/>
      <c r="C19" s="35" t="s">
        <v>21</v>
      </c>
      <c r="D19" s="72">
        <v>10519</v>
      </c>
      <c r="E19" s="54">
        <v>4609</v>
      </c>
      <c r="F19" s="15">
        <v>9555</v>
      </c>
      <c r="G19" s="54">
        <v>5042</v>
      </c>
      <c r="H19" s="78">
        <v>11000</v>
      </c>
    </row>
    <row r="20" spans="2:8">
      <c r="B20" s="25"/>
      <c r="C20" s="36" t="s">
        <v>25</v>
      </c>
      <c r="D20" s="71">
        <f>(D19/10071)-1</f>
        <v>4.4484162446629005E-2</v>
      </c>
      <c r="E20" s="53">
        <f>(E19/5147)-1+0.001</f>
        <v>-0.10352690887895866</v>
      </c>
      <c r="F20" s="16">
        <f>(F19/D19)-1</f>
        <v>-9.1643692366194518E-2</v>
      </c>
      <c r="G20" s="53">
        <f>(G19/E19)-1</f>
        <v>9.3946626166196534E-2</v>
      </c>
      <c r="H20" s="77">
        <f>(H19/F19)-1</f>
        <v>0.15122972265829415</v>
      </c>
    </row>
    <row r="21" spans="2:8">
      <c r="B21" s="25"/>
      <c r="C21" s="35" t="s">
        <v>22</v>
      </c>
      <c r="D21" s="72">
        <v>14389</v>
      </c>
      <c r="E21" s="54">
        <v>5923</v>
      </c>
      <c r="F21" s="15">
        <v>10852</v>
      </c>
      <c r="G21" s="54">
        <v>3635</v>
      </c>
      <c r="H21" s="78">
        <v>7650</v>
      </c>
    </row>
    <row r="22" spans="2:8">
      <c r="B22" s="25"/>
      <c r="C22" s="36" t="s">
        <v>26</v>
      </c>
      <c r="D22" s="71">
        <f>(D21/16019)-1</f>
        <v>-0.10175416692677441</v>
      </c>
      <c r="E22" s="53">
        <f>(E21/6486)-1</f>
        <v>-8.6802343509096547E-2</v>
      </c>
      <c r="F22" s="16">
        <f>(F21/D21)-1</f>
        <v>-0.24581277364653553</v>
      </c>
      <c r="G22" s="53">
        <f>(G21/E21)-1</f>
        <v>-0.38629073104845513</v>
      </c>
      <c r="H22" s="77">
        <f>(H21/F21)-1</f>
        <v>-0.29506081828234432</v>
      </c>
    </row>
    <row r="23" spans="2:8">
      <c r="B23" s="25"/>
      <c r="C23" s="35" t="s">
        <v>23</v>
      </c>
      <c r="D23" s="72">
        <v>4875</v>
      </c>
      <c r="E23" s="54">
        <v>2332</v>
      </c>
      <c r="F23" s="15">
        <v>4466</v>
      </c>
      <c r="G23" s="54">
        <v>2013</v>
      </c>
      <c r="H23" s="78">
        <v>4100</v>
      </c>
    </row>
    <row r="24" spans="2:8">
      <c r="B24" s="25"/>
      <c r="C24" s="35" t="s">
        <v>27</v>
      </c>
      <c r="D24" s="71">
        <f>(D23/3762)-1</f>
        <v>0.29585326953748003</v>
      </c>
      <c r="E24" s="53">
        <f>(E23/2274)-1</f>
        <v>2.5505716798592815E-2</v>
      </c>
      <c r="F24" s="16">
        <f>(F23/D23)-1</f>
        <v>-8.3897435897435924E-2</v>
      </c>
      <c r="G24" s="53">
        <f>(G23/E23)-1</f>
        <v>-0.1367924528301887</v>
      </c>
      <c r="H24" s="77">
        <f>(H23/F23)-1</f>
        <v>-8.1952530228392328E-2</v>
      </c>
    </row>
    <row r="25" spans="2:8">
      <c r="B25" s="37" t="s">
        <v>5</v>
      </c>
      <c r="C25" s="26"/>
      <c r="D25" s="72">
        <v>5045</v>
      </c>
      <c r="E25" s="54">
        <v>1812</v>
      </c>
      <c r="F25" s="15">
        <v>3255</v>
      </c>
      <c r="G25" s="54">
        <v>-222</v>
      </c>
      <c r="H25" s="78">
        <v>1000</v>
      </c>
    </row>
    <row r="26" spans="2:8">
      <c r="B26" s="38" t="s">
        <v>7</v>
      </c>
      <c r="C26" s="34"/>
      <c r="D26" s="71">
        <f>(D25/6696)-1+0.001</f>
        <v>-0.2455651135005974</v>
      </c>
      <c r="E26" s="53">
        <f>(E25/2436)-1</f>
        <v>-0.25615763546798032</v>
      </c>
      <c r="F26" s="16">
        <f>(F25/D25)-1</f>
        <v>-0.35480673934588702</v>
      </c>
      <c r="G26" s="108" t="s">
        <v>79</v>
      </c>
      <c r="H26" s="77">
        <f>(H25/F25)-1</f>
        <v>-0.69278033794162819</v>
      </c>
    </row>
    <row r="27" spans="2:8">
      <c r="B27" s="37" t="s">
        <v>9</v>
      </c>
      <c r="C27" s="26"/>
      <c r="D27" s="72">
        <v>5639</v>
      </c>
      <c r="E27" s="54">
        <v>2419</v>
      </c>
      <c r="F27" s="15">
        <v>4201</v>
      </c>
      <c r="G27" s="54">
        <v>-226</v>
      </c>
      <c r="H27" s="78">
        <v>1000</v>
      </c>
    </row>
    <row r="28" spans="2:8">
      <c r="B28" s="38" t="s">
        <v>8</v>
      </c>
      <c r="C28" s="34"/>
      <c r="D28" s="71">
        <f>(D27/7304)-1</f>
        <v>-0.2279572836801752</v>
      </c>
      <c r="E28" s="53">
        <f>(E27/2861)-1</f>
        <v>-0.15449143656064313</v>
      </c>
      <c r="F28" s="16">
        <f>(F27/D27)-1</f>
        <v>-0.25500975350239408</v>
      </c>
      <c r="G28" s="108" t="s">
        <v>79</v>
      </c>
      <c r="H28" s="77">
        <f>(H27/F27)-1</f>
        <v>-0.76196143775291603</v>
      </c>
    </row>
    <row r="29" spans="2:8">
      <c r="B29" s="37" t="s">
        <v>10</v>
      </c>
      <c r="C29" s="26"/>
      <c r="D29" s="72">
        <v>3672</v>
      </c>
      <c r="E29" s="54">
        <v>1537</v>
      </c>
      <c r="F29" s="15">
        <v>2782</v>
      </c>
      <c r="G29" s="54">
        <v>-406</v>
      </c>
      <c r="H29" s="78">
        <v>400</v>
      </c>
    </row>
    <row r="30" spans="2:8" ht="18.5" thickBot="1">
      <c r="B30" s="69" t="s">
        <v>11</v>
      </c>
      <c r="C30" s="29"/>
      <c r="D30" s="73">
        <f>(D29/5046)-1</f>
        <v>-0.27229488703923899</v>
      </c>
      <c r="E30" s="61">
        <f>(E29/1769)-1</f>
        <v>-0.13114754098360659</v>
      </c>
      <c r="F30" s="17">
        <f>(F29/D29)-1</f>
        <v>-0.24237472766884527</v>
      </c>
      <c r="G30" s="109" t="s">
        <v>79</v>
      </c>
      <c r="H30" s="98">
        <f>(H29/F29)-1</f>
        <v>-0.85621854780733286</v>
      </c>
    </row>
    <row r="31" spans="2:8" ht="18.5" thickTop="1">
      <c r="B31" s="4" t="s">
        <v>16</v>
      </c>
    </row>
    <row r="32" spans="2:8">
      <c r="B32" s="4" t="s">
        <v>17</v>
      </c>
    </row>
    <row r="34" spans="2:8" ht="20">
      <c r="B34" s="49" t="s">
        <v>49</v>
      </c>
      <c r="H34" s="1" t="s">
        <v>31</v>
      </c>
    </row>
    <row r="35" spans="2:8" ht="18.5" thickBot="1">
      <c r="B35" s="2"/>
      <c r="C35" s="7"/>
      <c r="D35" s="114" t="s">
        <v>75</v>
      </c>
      <c r="E35" s="112" t="s">
        <v>13</v>
      </c>
      <c r="F35" s="113"/>
      <c r="G35" s="112" t="s">
        <v>14</v>
      </c>
      <c r="H35" s="113"/>
    </row>
    <row r="36" spans="2:8" ht="36.5" thickTop="1">
      <c r="B36" s="3"/>
      <c r="C36" s="8"/>
      <c r="D36" s="115"/>
      <c r="E36" s="55" t="s">
        <v>74</v>
      </c>
      <c r="F36" s="80" t="s">
        <v>76</v>
      </c>
      <c r="G36" s="79" t="s">
        <v>74</v>
      </c>
      <c r="H36" s="75" t="s">
        <v>73</v>
      </c>
    </row>
    <row r="37" spans="2:8">
      <c r="B37" s="19" t="s">
        <v>28</v>
      </c>
      <c r="C37" s="56"/>
      <c r="D37" s="81">
        <v>131.4</v>
      </c>
      <c r="E37" s="82">
        <v>134.9</v>
      </c>
      <c r="F37" s="83">
        <v>140.6</v>
      </c>
      <c r="G37" s="105">
        <v>152.30000000000001</v>
      </c>
      <c r="H37" s="90">
        <v>153</v>
      </c>
    </row>
    <row r="38" spans="2:8">
      <c r="B38" s="20" t="s">
        <v>29</v>
      </c>
      <c r="C38" s="57"/>
      <c r="D38" s="84">
        <v>138</v>
      </c>
      <c r="E38" s="85">
        <v>145.80000000000001</v>
      </c>
      <c r="F38" s="86">
        <v>152</v>
      </c>
      <c r="G38" s="106">
        <v>164.6</v>
      </c>
      <c r="H38" s="91">
        <v>164</v>
      </c>
    </row>
    <row r="39" spans="2:8" ht="18.5" thickBot="1">
      <c r="B39" s="21" t="s">
        <v>30</v>
      </c>
      <c r="C39" s="58"/>
      <c r="D39" s="87">
        <v>19.5</v>
      </c>
      <c r="E39" s="88">
        <v>19.5</v>
      </c>
      <c r="F39" s="89">
        <v>19.8</v>
      </c>
      <c r="G39" s="107">
        <v>21.1</v>
      </c>
      <c r="H39" s="92">
        <v>21</v>
      </c>
    </row>
    <row r="40" spans="2:8" ht="18.5" thickTop="1"/>
    <row r="41" spans="2:8">
      <c r="B41" s="9"/>
      <c r="C41" s="10"/>
      <c r="D41" s="10"/>
      <c r="E41" s="10"/>
      <c r="F41" s="10"/>
      <c r="G41" s="10"/>
      <c r="H41" s="10"/>
    </row>
    <row r="42" spans="2:8">
      <c r="B42" s="10"/>
      <c r="C42" s="10"/>
      <c r="D42" s="10"/>
      <c r="E42" s="10"/>
      <c r="F42" s="10"/>
      <c r="G42" s="10"/>
      <c r="H42" s="10"/>
    </row>
    <row r="43" spans="2:8">
      <c r="C43" s="11"/>
    </row>
    <row r="44" spans="2:8">
      <c r="C44" s="11"/>
    </row>
  </sheetData>
  <mergeCells count="6">
    <mergeCell ref="E9:F9"/>
    <mergeCell ref="G9:H9"/>
    <mergeCell ref="D9:D10"/>
    <mergeCell ref="D35:D36"/>
    <mergeCell ref="E35:F35"/>
    <mergeCell ref="G35:H35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408F-F851-486F-99EC-D5C885374CC0}">
  <sheetPr>
    <pageSetUpPr fitToPage="1"/>
  </sheetPr>
  <dimension ref="A1:H44"/>
  <sheetViews>
    <sheetView topLeftCell="A23" zoomScale="80" zoomScaleNormal="80" workbookViewId="0">
      <selection activeCell="J38" sqref="J38"/>
    </sheetView>
  </sheetViews>
  <sheetFormatPr defaultRowHeight="18"/>
  <cols>
    <col min="1" max="1" width="2.33203125" customWidth="1"/>
    <col min="2" max="2" width="2.83203125" customWidth="1"/>
    <col min="3" max="3" width="44.4140625" bestFit="1" customWidth="1"/>
    <col min="4" max="8" width="10.58203125" customWidth="1"/>
    <col min="9" max="9" width="9.58203125" customWidth="1"/>
  </cols>
  <sheetData>
    <row r="1" spans="1:8" ht="11" customHeight="1"/>
    <row r="2" spans="1:8" ht="22.5">
      <c r="B2" s="6"/>
    </row>
    <row r="4" spans="1:8">
      <c r="H4" s="5"/>
    </row>
    <row r="5" spans="1:8">
      <c r="B5" s="47"/>
      <c r="C5" s="47"/>
      <c r="D5" s="47"/>
      <c r="H5" s="48"/>
    </row>
    <row r="6" spans="1:8">
      <c r="B6" s="47"/>
      <c r="C6" s="47"/>
      <c r="D6" s="47"/>
      <c r="H6" s="1"/>
    </row>
    <row r="7" spans="1:8">
      <c r="A7" s="12"/>
      <c r="B7" s="12"/>
      <c r="C7" s="12"/>
      <c r="D7" s="12"/>
      <c r="E7" s="12"/>
      <c r="H7" s="1" t="s">
        <v>69</v>
      </c>
    </row>
    <row r="8" spans="1:8" ht="20">
      <c r="A8" s="12"/>
      <c r="B8" s="50" t="s">
        <v>64</v>
      </c>
      <c r="C8" s="12"/>
      <c r="D8" s="12"/>
      <c r="E8" s="12"/>
      <c r="H8" s="1" t="s">
        <v>19</v>
      </c>
    </row>
    <row r="9" spans="1:8" ht="18.5" thickBot="1">
      <c r="B9" s="2"/>
      <c r="C9" s="7"/>
      <c r="D9" s="116" t="s">
        <v>75</v>
      </c>
      <c r="E9" s="117" t="s">
        <v>13</v>
      </c>
      <c r="F9" s="113"/>
      <c r="G9" s="112" t="s">
        <v>14</v>
      </c>
      <c r="H9" s="113"/>
    </row>
    <row r="10" spans="1:8" ht="36.5" thickTop="1">
      <c r="B10" s="3"/>
      <c r="C10" s="8"/>
      <c r="D10" s="115"/>
      <c r="E10" s="55" t="s">
        <v>74</v>
      </c>
      <c r="F10" s="80" t="s">
        <v>76</v>
      </c>
      <c r="G10" s="79" t="s">
        <v>74</v>
      </c>
      <c r="H10" s="75" t="s">
        <v>73</v>
      </c>
    </row>
    <row r="11" spans="1:8">
      <c r="B11" s="22" t="s">
        <v>32</v>
      </c>
      <c r="C11" s="23"/>
      <c r="D11" s="72">
        <v>87771</v>
      </c>
      <c r="E11" s="54">
        <v>40405</v>
      </c>
      <c r="F11" s="93">
        <v>80192</v>
      </c>
      <c r="G11" s="100">
        <v>36156</v>
      </c>
      <c r="H11" s="78">
        <v>77500</v>
      </c>
    </row>
    <row r="12" spans="1:8">
      <c r="B12" s="30" t="s">
        <v>33</v>
      </c>
      <c r="C12" s="31"/>
      <c r="D12" s="71">
        <f>(D11/85703)-1</f>
        <v>2.4129843762762171E-2</v>
      </c>
      <c r="E12" s="53">
        <f>(E11/42024)-1</f>
        <v>-3.8525604416523862E-2</v>
      </c>
      <c r="F12" s="94">
        <f>(F11/D11)-1</f>
        <v>-8.6349705483588002E-2</v>
      </c>
      <c r="G12" s="101">
        <f>(G11/E11)-1</f>
        <v>-0.10516025244400451</v>
      </c>
      <c r="H12" s="77">
        <f>(H11/F11)-1</f>
        <v>-3.3569433359936118E-2</v>
      </c>
    </row>
    <row r="13" spans="1:8">
      <c r="B13" s="25"/>
      <c r="C13" s="26" t="s">
        <v>34</v>
      </c>
      <c r="D13" s="72">
        <v>72927</v>
      </c>
      <c r="E13" s="54">
        <v>33731</v>
      </c>
      <c r="F13" s="93">
        <v>65668</v>
      </c>
      <c r="G13" s="102">
        <v>29382</v>
      </c>
      <c r="H13" s="78">
        <v>62400</v>
      </c>
    </row>
    <row r="14" spans="1:8">
      <c r="B14" s="25"/>
      <c r="C14" s="51" t="s">
        <v>51</v>
      </c>
      <c r="D14" s="71">
        <f>(D13/69353)-1</f>
        <v>5.1533459259152536E-2</v>
      </c>
      <c r="E14" s="53">
        <f>(E13/35321)-1</f>
        <v>-4.5015713031907323E-2</v>
      </c>
      <c r="F14" s="94">
        <f>(F13/D13)-1</f>
        <v>-9.9537894058442045E-2</v>
      </c>
      <c r="G14" s="101">
        <f>(G13/E13)-1</f>
        <v>-0.12893184311167771</v>
      </c>
      <c r="H14" s="77">
        <f>(H13/F13)-1</f>
        <v>-4.9765486995187902E-2</v>
      </c>
    </row>
    <row r="15" spans="1:8">
      <c r="B15" s="25"/>
      <c r="C15" s="26" t="s">
        <v>35</v>
      </c>
      <c r="D15" s="72">
        <v>10450</v>
      </c>
      <c r="E15" s="54">
        <v>4706</v>
      </c>
      <c r="F15" s="93">
        <v>9540</v>
      </c>
      <c r="G15" s="102">
        <v>4963</v>
      </c>
      <c r="H15" s="78">
        <v>10600</v>
      </c>
    </row>
    <row r="16" spans="1:8">
      <c r="B16" s="25"/>
      <c r="C16" s="27" t="s">
        <v>38</v>
      </c>
      <c r="D16" s="71">
        <f>(D15/11066)-1</f>
        <v>-5.5666003976143186E-2</v>
      </c>
      <c r="E16" s="53">
        <f>(E15/5199)-1</f>
        <v>-9.4825928063089093E-2</v>
      </c>
      <c r="F16" s="94">
        <f>(F15/D15)-1</f>
        <v>-8.7081339712918648E-2</v>
      </c>
      <c r="G16" s="101">
        <f>(G15/E15)-1-0.001</f>
        <v>5.3611134721632037E-2</v>
      </c>
      <c r="H16" s="77">
        <f>(H15/F15)-1</f>
        <v>0.11111111111111116</v>
      </c>
    </row>
    <row r="17" spans="2:8">
      <c r="B17" s="25"/>
      <c r="C17" s="26" t="s">
        <v>23</v>
      </c>
      <c r="D17" s="72">
        <f>+D11-D13-D15</f>
        <v>4394</v>
      </c>
      <c r="E17" s="54">
        <v>1967</v>
      </c>
      <c r="F17" s="93">
        <v>4984</v>
      </c>
      <c r="G17" s="102">
        <v>1810</v>
      </c>
      <c r="H17" s="78">
        <v>4500</v>
      </c>
    </row>
    <row r="18" spans="2:8">
      <c r="B18" s="28"/>
      <c r="C18" s="29" t="s">
        <v>50</v>
      </c>
      <c r="D18" s="73">
        <f>(D17/5283)-1</f>
        <v>-0.16827560098428918</v>
      </c>
      <c r="E18" s="59">
        <f>(E17/1503)-1</f>
        <v>0.30871590153027273</v>
      </c>
      <c r="F18" s="95">
        <f>(F17/D17)-1</f>
        <v>0.13427401001365502</v>
      </c>
      <c r="G18" s="103">
        <f>(G17/E17)-1</f>
        <v>-7.9816980172852103E-2</v>
      </c>
      <c r="H18" s="98">
        <f>(H17/F17)-1</f>
        <v>-9.71107544141252E-2</v>
      </c>
    </row>
    <row r="19" spans="2:8">
      <c r="B19" s="30" t="s">
        <v>36</v>
      </c>
      <c r="C19" s="32"/>
      <c r="D19" s="97">
        <v>5045</v>
      </c>
      <c r="E19" s="60">
        <v>1812</v>
      </c>
      <c r="F19" s="96">
        <v>3255</v>
      </c>
      <c r="G19" s="128">
        <v>-222</v>
      </c>
      <c r="H19" s="99">
        <v>1000</v>
      </c>
    </row>
    <row r="20" spans="2:8">
      <c r="B20" s="30" t="s">
        <v>37</v>
      </c>
      <c r="C20" s="31"/>
      <c r="D20" s="71">
        <f>(D19/6696)-1</f>
        <v>-0.2465651135005974</v>
      </c>
      <c r="E20" s="53">
        <f>(E19/2436)-1</f>
        <v>-0.25615763546798032</v>
      </c>
      <c r="F20" s="94">
        <f>(F19/D19)-1</f>
        <v>-0.35480673934588702</v>
      </c>
      <c r="G20" s="129" t="s">
        <v>80</v>
      </c>
      <c r="H20" s="77">
        <f>(H19/F19)-1</f>
        <v>-0.69278033794162819</v>
      </c>
    </row>
    <row r="21" spans="2:8">
      <c r="B21" s="25"/>
      <c r="C21" s="26" t="s">
        <v>34</v>
      </c>
      <c r="D21" s="72">
        <v>3857</v>
      </c>
      <c r="E21" s="54">
        <v>1451</v>
      </c>
      <c r="F21" s="93">
        <v>2353</v>
      </c>
      <c r="G21" s="102">
        <v>-647</v>
      </c>
      <c r="H21" s="78">
        <v>100</v>
      </c>
    </row>
    <row r="22" spans="2:8">
      <c r="B22" s="25"/>
      <c r="C22" s="51" t="s">
        <v>51</v>
      </c>
      <c r="D22" s="71">
        <f>(D21/4845)-1</f>
        <v>-0.20392156862745103</v>
      </c>
      <c r="E22" s="53">
        <f>(E21/1765)-1</f>
        <v>-0.17790368271954671</v>
      </c>
      <c r="F22" s="94">
        <f>(F21/D21)-1</f>
        <v>-0.38994036816178379</v>
      </c>
      <c r="G22" s="129" t="s">
        <v>80</v>
      </c>
      <c r="H22" s="77">
        <f>(H21/F21)-1</f>
        <v>-0.95750106247343814</v>
      </c>
    </row>
    <row r="23" spans="2:8">
      <c r="B23" s="25"/>
      <c r="C23" s="26" t="s">
        <v>35</v>
      </c>
      <c r="D23" s="72">
        <v>1166</v>
      </c>
      <c r="E23" s="54">
        <v>366</v>
      </c>
      <c r="F23" s="93">
        <v>753</v>
      </c>
      <c r="G23" s="102">
        <v>441</v>
      </c>
      <c r="H23" s="78">
        <v>850</v>
      </c>
    </row>
    <row r="24" spans="2:8">
      <c r="B24" s="25"/>
      <c r="C24" s="27" t="s">
        <v>38</v>
      </c>
      <c r="D24" s="71">
        <f>(D23/1782)-1</f>
        <v>-0.34567901234567899</v>
      </c>
      <c r="E24" s="53">
        <f>(E23/660)-1-0.001</f>
        <v>-0.44645454545454544</v>
      </c>
      <c r="F24" s="94">
        <f>(F23/D23)-1</f>
        <v>-0.35420240137221271</v>
      </c>
      <c r="G24" s="101">
        <f>(G23/E23)-1</f>
        <v>0.20491803278688514</v>
      </c>
      <c r="H24" s="77">
        <f>(H23/F23)-1</f>
        <v>0.12881806108897753</v>
      </c>
    </row>
    <row r="25" spans="2:8">
      <c r="B25" s="25"/>
      <c r="C25" s="26" t="s">
        <v>23</v>
      </c>
      <c r="D25" s="72">
        <v>143</v>
      </c>
      <c r="E25" s="54">
        <v>36</v>
      </c>
      <c r="F25" s="93">
        <v>246</v>
      </c>
      <c r="G25" s="102">
        <v>19</v>
      </c>
      <c r="H25" s="78">
        <v>120</v>
      </c>
    </row>
    <row r="26" spans="2:8" ht="18.5" thickBot="1">
      <c r="B26" s="28"/>
      <c r="C26" s="29" t="s">
        <v>50</v>
      </c>
      <c r="D26" s="73">
        <f>(D25/115)-1</f>
        <v>0.24347826086956514</v>
      </c>
      <c r="E26" s="61">
        <v>1.294</v>
      </c>
      <c r="F26" s="95">
        <f>(F25/D25)-1+0.001</f>
        <v>0.7212797202797202</v>
      </c>
      <c r="G26" s="104">
        <f>(G25/E25)-1-0.003</f>
        <v>-0.47522222222222221</v>
      </c>
      <c r="H26" s="98">
        <f>(H25/F25)-1</f>
        <v>-0.51219512195121952</v>
      </c>
    </row>
    <row r="27" spans="2:8" ht="18.5" thickTop="1"/>
    <row r="28" spans="2:8">
      <c r="H28" s="1" t="s">
        <v>18</v>
      </c>
    </row>
    <row r="29" spans="2:8" ht="20">
      <c r="B29" s="49" t="s">
        <v>53</v>
      </c>
      <c r="H29" s="1" t="s">
        <v>19</v>
      </c>
    </row>
    <row r="30" spans="2:8" ht="18.5" thickBot="1">
      <c r="B30" s="2"/>
      <c r="C30" s="7"/>
      <c r="D30" s="116" t="s">
        <v>75</v>
      </c>
      <c r="E30" s="117" t="s">
        <v>13</v>
      </c>
      <c r="F30" s="113"/>
      <c r="G30" s="112" t="s">
        <v>14</v>
      </c>
      <c r="H30" s="113"/>
    </row>
    <row r="31" spans="2:8" ht="36.5" thickTop="1">
      <c r="B31" s="3"/>
      <c r="C31" s="8"/>
      <c r="D31" s="115"/>
      <c r="E31" s="55" t="s">
        <v>74</v>
      </c>
      <c r="F31" s="80" t="s">
        <v>76</v>
      </c>
      <c r="G31" s="79" t="s">
        <v>74</v>
      </c>
      <c r="H31" s="75" t="s">
        <v>73</v>
      </c>
    </row>
    <row r="32" spans="2:8">
      <c r="B32" s="33" t="s">
        <v>39</v>
      </c>
      <c r="C32" s="23"/>
      <c r="D32" s="72">
        <v>32649</v>
      </c>
      <c r="E32" s="54">
        <v>14534</v>
      </c>
      <c r="F32" s="93">
        <v>27604</v>
      </c>
      <c r="G32" s="100">
        <v>10447</v>
      </c>
      <c r="H32" s="78">
        <v>23300</v>
      </c>
    </row>
    <row r="33" spans="2:8">
      <c r="B33" s="24" t="s">
        <v>43</v>
      </c>
      <c r="C33" s="62"/>
      <c r="D33" s="71">
        <f>(D32/31251)-1</f>
        <v>4.4734568493808302E-2</v>
      </c>
      <c r="E33" s="53">
        <f>(E32/15641)-1</f>
        <v>-7.0775525861517807E-2</v>
      </c>
      <c r="F33" s="94">
        <f>(F32/D32)-1</f>
        <v>-0.15452234371649975</v>
      </c>
      <c r="G33" s="101">
        <f>(G32/E32)-1</f>
        <v>-0.28120269712398516</v>
      </c>
      <c r="H33" s="77">
        <f>(H32/F32)-1</f>
        <v>-0.15591943196638169</v>
      </c>
    </row>
    <row r="34" spans="2:8">
      <c r="B34" s="25"/>
      <c r="C34" s="26" t="s">
        <v>41</v>
      </c>
      <c r="D34" s="72">
        <v>4867</v>
      </c>
      <c r="E34" s="54">
        <v>2370</v>
      </c>
      <c r="F34" s="93">
        <v>4864</v>
      </c>
      <c r="G34" s="102">
        <v>2095</v>
      </c>
      <c r="H34" s="78">
        <v>5220</v>
      </c>
    </row>
    <row r="35" spans="2:8">
      <c r="B35" s="25"/>
      <c r="C35" s="27" t="s">
        <v>6</v>
      </c>
      <c r="D35" s="71">
        <f>(D34/4458)-1</f>
        <v>9.1745177209511031E-2</v>
      </c>
      <c r="E35" s="53">
        <f>(E34/2129)-1</f>
        <v>0.11319868482855799</v>
      </c>
      <c r="F35" s="94">
        <f>(F34/D34)-1</f>
        <v>-6.1639613725084086E-4</v>
      </c>
      <c r="G35" s="101">
        <f>(G34/E34)-1</f>
        <v>-0.11603375527426163</v>
      </c>
      <c r="H35" s="77">
        <f>(H34/F34)-1</f>
        <v>7.3190789473684292E-2</v>
      </c>
    </row>
    <row r="36" spans="2:8">
      <c r="B36" s="25"/>
      <c r="C36" s="26" t="s">
        <v>42</v>
      </c>
      <c r="D36" s="72">
        <v>27782</v>
      </c>
      <c r="E36" s="54">
        <v>12164</v>
      </c>
      <c r="F36" s="93">
        <v>22739</v>
      </c>
      <c r="G36" s="102">
        <v>8351</v>
      </c>
      <c r="H36" s="78">
        <v>18080</v>
      </c>
    </row>
    <row r="37" spans="2:8">
      <c r="B37" s="28"/>
      <c r="C37" s="29" t="s">
        <v>4</v>
      </c>
      <c r="D37" s="73">
        <f>(D36/26793)-1</f>
        <v>3.6912626432276996E-2</v>
      </c>
      <c r="E37" s="59">
        <f>(E36/13512)-1</f>
        <v>-9.976317347542929E-2</v>
      </c>
      <c r="F37" s="95">
        <f>(F36/D36)-1+0.001</f>
        <v>-0.18052040889784748</v>
      </c>
      <c r="G37" s="103">
        <f>(G36/E36)-1</f>
        <v>-0.31346596514304503</v>
      </c>
      <c r="H37" s="98">
        <f>(H36/F36)-1</f>
        <v>-0.20489027661726544</v>
      </c>
    </row>
    <row r="38" spans="2:8">
      <c r="B38" s="33" t="s">
        <v>40</v>
      </c>
      <c r="C38" s="23"/>
      <c r="D38" s="72">
        <v>15505</v>
      </c>
      <c r="E38" s="54">
        <v>6945</v>
      </c>
      <c r="F38" s="93">
        <v>13706</v>
      </c>
      <c r="G38" s="102">
        <v>6800</v>
      </c>
      <c r="H38" s="78">
        <v>14510</v>
      </c>
    </row>
    <row r="39" spans="2:8">
      <c r="B39" s="24" t="s">
        <v>44</v>
      </c>
      <c r="C39" s="62"/>
      <c r="D39" s="71">
        <f>(D38/14165)-1</f>
        <v>9.4599364631133165E-2</v>
      </c>
      <c r="E39" s="53">
        <f>(E38/7340)-1</f>
        <v>-5.3814713896457755E-2</v>
      </c>
      <c r="F39" s="94">
        <f>(F38/D38)-1</f>
        <v>-0.11602708803611739</v>
      </c>
      <c r="G39" s="101">
        <f>(G38/E38)-1</f>
        <v>-2.0878329733621359E-2</v>
      </c>
      <c r="H39" s="77">
        <f>(H38/F38)-1</f>
        <v>5.866044068291254E-2</v>
      </c>
    </row>
    <row r="40" spans="2:8">
      <c r="B40" s="25"/>
      <c r="C40" s="26" t="s">
        <v>41</v>
      </c>
      <c r="D40" s="72">
        <v>3283</v>
      </c>
      <c r="E40" s="54">
        <v>1445</v>
      </c>
      <c r="F40" s="93">
        <v>2756</v>
      </c>
      <c r="G40" s="102">
        <v>1404</v>
      </c>
      <c r="H40" s="78">
        <v>3100</v>
      </c>
    </row>
    <row r="41" spans="2:8">
      <c r="B41" s="25"/>
      <c r="C41" s="27" t="s">
        <v>6</v>
      </c>
      <c r="D41" s="71">
        <f>(D40/4048)-1</f>
        <v>-0.18898221343873522</v>
      </c>
      <c r="E41" s="53">
        <f>(E40/1751)-1+0.001</f>
        <v>-0.17375728155339809</v>
      </c>
      <c r="F41" s="94">
        <f>(F40/D40)-1</f>
        <v>-0.16052391105696007</v>
      </c>
      <c r="G41" s="101">
        <f>(G40/E40)-1-0.001</f>
        <v>-2.937370242214532E-2</v>
      </c>
      <c r="H41" s="77">
        <f>(H40/F40)-1</f>
        <v>0.12481857764876625</v>
      </c>
    </row>
    <row r="42" spans="2:8">
      <c r="B42" s="25"/>
      <c r="C42" s="26" t="s">
        <v>42</v>
      </c>
      <c r="D42" s="72">
        <v>12221</v>
      </c>
      <c r="E42" s="54">
        <v>5499</v>
      </c>
      <c r="F42" s="93">
        <v>10950</v>
      </c>
      <c r="G42" s="102">
        <v>5396</v>
      </c>
      <c r="H42" s="78">
        <v>11410</v>
      </c>
    </row>
    <row r="43" spans="2:8" ht="18.5" thickBot="1">
      <c r="B43" s="28"/>
      <c r="C43" s="29" t="s">
        <v>4</v>
      </c>
      <c r="D43" s="73">
        <f>(D42/10116)-1</f>
        <v>0.20808620007908263</v>
      </c>
      <c r="E43" s="61">
        <f>(E42/5589)-1</f>
        <v>-1.6103059581320411E-2</v>
      </c>
      <c r="F43" s="95">
        <f>(F42/D42)-1</f>
        <v>-0.10400130922183126</v>
      </c>
      <c r="G43" s="104">
        <f>(G42/E42)-1</f>
        <v>-1.8730678305146409E-2</v>
      </c>
      <c r="H43" s="98">
        <f>(H42/F42)-1</f>
        <v>4.20091324200913E-2</v>
      </c>
    </row>
    <row r="44" spans="2:8" ht="18.5" thickTop="1"/>
  </sheetData>
  <mergeCells count="6">
    <mergeCell ref="D9:D10"/>
    <mergeCell ref="E9:F9"/>
    <mergeCell ref="G9:H9"/>
    <mergeCell ref="D30:D31"/>
    <mergeCell ref="E30:F30"/>
    <mergeCell ref="G30:H30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CE19-0F90-48A9-A4F9-6609EAE9F804}">
  <sheetPr>
    <pageSetUpPr fitToPage="1"/>
  </sheetPr>
  <dimension ref="B1:I26"/>
  <sheetViews>
    <sheetView tabSelected="1" zoomScale="80" zoomScaleNormal="80" workbookViewId="0">
      <selection activeCell="H16" sqref="H16"/>
    </sheetView>
  </sheetViews>
  <sheetFormatPr defaultRowHeight="18"/>
  <cols>
    <col min="1" max="1" width="2.33203125" customWidth="1"/>
    <col min="2" max="2" width="2.83203125" customWidth="1"/>
    <col min="3" max="3" width="37.33203125" customWidth="1"/>
    <col min="4" max="9" width="11.58203125" customWidth="1"/>
  </cols>
  <sheetData>
    <row r="1" spans="2:9" ht="8.5" customHeight="1"/>
    <row r="2" spans="2:9" ht="22.5">
      <c r="B2" s="6"/>
    </row>
    <row r="4" spans="2:9">
      <c r="I4" s="5"/>
    </row>
    <row r="5" spans="2:9">
      <c r="B5" s="47"/>
      <c r="C5" s="47"/>
      <c r="I5" s="48"/>
    </row>
    <row r="6" spans="2:9">
      <c r="B6" s="47"/>
      <c r="C6" s="47"/>
    </row>
    <row r="7" spans="2:9">
      <c r="H7" s="1" t="s">
        <v>45</v>
      </c>
    </row>
    <row r="8" spans="2:9" ht="20.5" thickBot="1">
      <c r="B8" s="49" t="s">
        <v>52</v>
      </c>
      <c r="H8" s="1" t="s">
        <v>46</v>
      </c>
    </row>
    <row r="9" spans="2:9" ht="18.5" thickTop="1">
      <c r="B9" s="2"/>
      <c r="C9" s="13"/>
      <c r="D9" s="126" t="s">
        <v>12</v>
      </c>
      <c r="E9" s="122" t="s">
        <v>70</v>
      </c>
      <c r="F9" s="120" t="s">
        <v>78</v>
      </c>
      <c r="G9" s="124" t="s">
        <v>68</v>
      </c>
      <c r="H9" s="120" t="s">
        <v>77</v>
      </c>
    </row>
    <row r="10" spans="2:9">
      <c r="B10" s="3"/>
      <c r="C10" s="14"/>
      <c r="D10" s="127"/>
      <c r="E10" s="123"/>
      <c r="F10" s="121"/>
      <c r="G10" s="125"/>
      <c r="H10" s="121"/>
    </row>
    <row r="11" spans="2:9" s="39" customFormat="1" ht="36.5" customHeight="1">
      <c r="B11" s="43"/>
      <c r="C11" s="40" t="s">
        <v>54</v>
      </c>
      <c r="D11" s="63">
        <v>46436</v>
      </c>
      <c r="E11" s="64">
        <v>48687</v>
      </c>
      <c r="F11" s="65">
        <v>50295</v>
      </c>
      <c r="G11" s="66">
        <v>49715</v>
      </c>
      <c r="H11" s="110">
        <v>48962</v>
      </c>
      <c r="I11"/>
    </row>
    <row r="12" spans="2:9" s="39" customFormat="1" ht="36.5" customHeight="1">
      <c r="B12" s="45"/>
      <c r="C12" s="41" t="s">
        <v>55</v>
      </c>
      <c r="D12" s="63">
        <v>22659</v>
      </c>
      <c r="E12" s="64">
        <v>19315</v>
      </c>
      <c r="F12" s="65">
        <v>17965</v>
      </c>
      <c r="G12" s="66">
        <v>18231</v>
      </c>
      <c r="H12" s="110">
        <v>14982</v>
      </c>
      <c r="I12"/>
    </row>
    <row r="13" spans="2:9" s="39" customFormat="1" ht="36.5" customHeight="1">
      <c r="B13" s="46"/>
      <c r="C13" s="40" t="s">
        <v>56</v>
      </c>
      <c r="D13" s="63">
        <v>21955</v>
      </c>
      <c r="E13" s="64">
        <v>22130</v>
      </c>
      <c r="F13" s="65">
        <v>22711</v>
      </c>
      <c r="G13" s="66">
        <v>23822</v>
      </c>
      <c r="H13" s="110">
        <v>23814</v>
      </c>
      <c r="I13"/>
    </row>
    <row r="14" spans="2:9" s="39" customFormat="1" ht="36.5" customHeight="1">
      <c r="B14" s="46"/>
      <c r="C14" s="41" t="s">
        <v>63</v>
      </c>
      <c r="D14" s="63">
        <v>13331</v>
      </c>
      <c r="E14" s="64">
        <v>13535</v>
      </c>
      <c r="F14" s="65">
        <v>13532</v>
      </c>
      <c r="G14" s="66">
        <v>13857</v>
      </c>
      <c r="H14" s="110">
        <v>14271</v>
      </c>
      <c r="I14"/>
    </row>
    <row r="15" spans="2:9" s="39" customFormat="1" ht="36.5" customHeight="1">
      <c r="B15" s="46"/>
      <c r="C15" s="42" t="s">
        <v>47</v>
      </c>
      <c r="D15" s="63">
        <v>636</v>
      </c>
      <c r="E15" s="64">
        <v>610</v>
      </c>
      <c r="F15" s="65">
        <v>591</v>
      </c>
      <c r="G15" s="66">
        <v>596</v>
      </c>
      <c r="H15" s="110">
        <v>565</v>
      </c>
      <c r="I15"/>
    </row>
    <row r="16" spans="2:9" s="39" customFormat="1" ht="36.5" customHeight="1">
      <c r="B16" s="44"/>
      <c r="C16" s="41" t="s">
        <v>57</v>
      </c>
      <c r="D16" s="63">
        <v>7986</v>
      </c>
      <c r="E16" s="64">
        <v>7984</v>
      </c>
      <c r="F16" s="65">
        <v>8587</v>
      </c>
      <c r="G16" s="66">
        <v>9368</v>
      </c>
      <c r="H16" s="110">
        <v>8978</v>
      </c>
      <c r="I16"/>
    </row>
    <row r="17" spans="2:9" s="39" customFormat="1" ht="36.5" customHeight="1">
      <c r="B17" s="118" t="s">
        <v>58</v>
      </c>
      <c r="C17" s="119"/>
      <c r="D17" s="63">
        <v>68391</v>
      </c>
      <c r="E17" s="64">
        <v>70818</v>
      </c>
      <c r="F17" s="65">
        <v>73006</v>
      </c>
      <c r="G17" s="66">
        <v>73538</v>
      </c>
      <c r="H17" s="110">
        <v>72777</v>
      </c>
      <c r="I17"/>
    </row>
    <row r="18" spans="2:9" s="39" customFormat="1" ht="36.5" customHeight="1">
      <c r="B18" s="43"/>
      <c r="C18" s="40" t="s">
        <v>59</v>
      </c>
      <c r="D18" s="63">
        <v>20572</v>
      </c>
      <c r="E18" s="64">
        <v>19357</v>
      </c>
      <c r="F18" s="65">
        <v>18987</v>
      </c>
      <c r="G18" s="66">
        <v>18303</v>
      </c>
      <c r="H18" s="110">
        <v>17102</v>
      </c>
      <c r="I18"/>
    </row>
    <row r="19" spans="2:9" s="39" customFormat="1" ht="36.5" customHeight="1">
      <c r="B19" s="46"/>
      <c r="C19" s="41" t="s">
        <v>66</v>
      </c>
      <c r="D19" s="63">
        <v>5895</v>
      </c>
      <c r="E19" s="64">
        <v>5217</v>
      </c>
      <c r="F19" s="65">
        <v>5157</v>
      </c>
      <c r="G19" s="66">
        <v>5197</v>
      </c>
      <c r="H19" s="110">
        <v>5107</v>
      </c>
      <c r="I19"/>
    </row>
    <row r="20" spans="2:9" s="39" customFormat="1" ht="36.5" customHeight="1">
      <c r="B20" s="46"/>
      <c r="C20" s="40" t="s">
        <v>60</v>
      </c>
      <c r="D20" s="63">
        <v>14259</v>
      </c>
      <c r="E20" s="64">
        <v>12999</v>
      </c>
      <c r="F20" s="65">
        <v>12532</v>
      </c>
      <c r="G20" s="66">
        <v>12093</v>
      </c>
      <c r="H20" s="110">
        <v>11597</v>
      </c>
      <c r="I20"/>
    </row>
    <row r="21" spans="2:9" s="39" customFormat="1" ht="36.5" customHeight="1">
      <c r="B21" s="44"/>
      <c r="C21" s="41" t="s">
        <v>67</v>
      </c>
      <c r="D21" s="63">
        <v>4396</v>
      </c>
      <c r="E21" s="64">
        <v>3709</v>
      </c>
      <c r="F21" s="65">
        <v>3365</v>
      </c>
      <c r="G21" s="66">
        <v>2921</v>
      </c>
      <c r="H21" s="110">
        <v>2578</v>
      </c>
      <c r="I21"/>
    </row>
    <row r="22" spans="2:9" s="39" customFormat="1" ht="36.5" customHeight="1">
      <c r="B22" s="118" t="s">
        <v>61</v>
      </c>
      <c r="C22" s="119"/>
      <c r="D22" s="63">
        <v>34831</v>
      </c>
      <c r="E22" s="64">
        <v>32357</v>
      </c>
      <c r="F22" s="65">
        <v>31520</v>
      </c>
      <c r="G22" s="66">
        <v>30396</v>
      </c>
      <c r="H22" s="110">
        <v>28699</v>
      </c>
      <c r="I22"/>
    </row>
    <row r="23" spans="2:9" s="39" customFormat="1" ht="36.5" customHeight="1">
      <c r="B23" s="118" t="s">
        <v>62</v>
      </c>
      <c r="C23" s="119"/>
      <c r="D23" s="63">
        <v>33559</v>
      </c>
      <c r="E23" s="64">
        <v>38461</v>
      </c>
      <c r="F23" s="65">
        <v>41486</v>
      </c>
      <c r="G23" s="66">
        <v>43141</v>
      </c>
      <c r="H23" s="110">
        <v>44077</v>
      </c>
      <c r="I23"/>
    </row>
    <row r="24" spans="2:9" s="39" customFormat="1" ht="36.5" customHeight="1" thickBot="1">
      <c r="B24" s="118" t="s">
        <v>65</v>
      </c>
      <c r="C24" s="119"/>
      <c r="D24" s="63">
        <v>68391</v>
      </c>
      <c r="E24" s="64">
        <v>70818</v>
      </c>
      <c r="F24" s="67">
        <v>73006</v>
      </c>
      <c r="G24" s="66">
        <v>73538</v>
      </c>
      <c r="H24" s="111">
        <v>72777</v>
      </c>
      <c r="I24"/>
    </row>
    <row r="25" spans="2:9" ht="10.5" customHeight="1" thickTop="1">
      <c r="D25" s="68"/>
      <c r="E25" s="68"/>
      <c r="F25" s="68"/>
      <c r="G25" s="68"/>
      <c r="H25" s="68"/>
    </row>
    <row r="26" spans="2:9">
      <c r="H26" s="1"/>
    </row>
  </sheetData>
  <mergeCells count="9">
    <mergeCell ref="B24:C24"/>
    <mergeCell ref="F9:F10"/>
    <mergeCell ref="E9:E10"/>
    <mergeCell ref="G9:G10"/>
    <mergeCell ref="H9:H10"/>
    <mergeCell ref="D9:D10"/>
    <mergeCell ref="B17:C17"/>
    <mergeCell ref="B22:C22"/>
    <mergeCell ref="B23:C23"/>
  </mergeCells>
  <phoneticPr fontId="2"/>
  <pageMargins left="0.70866141732283472" right="0.51181102362204722" top="0.55118110236220474" bottom="0.55118110236220474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2025.3_2Q(1)</vt:lpstr>
      <vt:lpstr>2025.3_2Q(2)</vt:lpstr>
      <vt:lpstr>2025.3_2Q(3)</vt:lpstr>
      <vt:lpstr>'2025.3_2Q(1)'!Print_Area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松井 洋</cp:lastModifiedBy>
  <cp:lastPrinted>2024-11-06T04:28:59Z</cp:lastPrinted>
  <dcterms:created xsi:type="dcterms:W3CDTF">2015-06-05T18:19:34Z</dcterms:created>
  <dcterms:modified xsi:type="dcterms:W3CDTF">2024-11-13T23:27:55Z</dcterms:modified>
</cp:coreProperties>
</file>